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sf\Home\Documents\100%\PARKOVI\plitvice\_izvedbeni projekt\troskovnik\rujan revizija\"/>
    </mc:Choice>
  </mc:AlternateContent>
  <bookViews>
    <workbookView xWindow="1905" yWindow="45" windowWidth="7230" windowHeight="2790" tabRatio="830" firstSheet="1" activeTab="3"/>
  </bookViews>
  <sheets>
    <sheet name="MAPA 1-OPĆI UVJETI" sheetId="39" r:id="rId1"/>
    <sheet name="REKAPITULACIJA UKUPNO" sheetId="53" r:id="rId2"/>
    <sheet name="MAPA 1--Z1 - Građ.obrtnički rad" sheetId="42" r:id="rId3"/>
    <sheet name="MAPA 1- Z2 - Građ.obrtnički rad" sheetId="43" r:id="rId4"/>
    <sheet name="MAPA 1-ISKAZ KOLIČINA" sheetId="45" state="hidden" r:id="rId5"/>
    <sheet name="MAPA 3-STROJARSTVO" sheetId="48" r:id="rId6"/>
    <sheet name="MAPA 4-VODA" sheetId="49" r:id="rId7"/>
    <sheet name="MAPA 4-KANALIZACIJA" sheetId="51" r:id="rId8"/>
    <sheet name="MAPA 5-SANITARIJE" sheetId="52" r:id="rId9"/>
    <sheet name="MAPA 5-ELEKTRO" sheetId="50" r:id="rId10"/>
    <sheet name="MAPA 5-VATRODOJAVA" sheetId="54" r:id="rId11"/>
  </sheets>
  <externalReferences>
    <externalReference r:id="rId12"/>
    <externalReference r:id="rId13"/>
  </externalReferences>
  <definedNames>
    <definedName name="_1.1." localSheetId="2">'MAPA 1--Z1 - Građ.obrtnički rad'!$C$15:$C$20</definedName>
    <definedName name="_1.1.">#REF!</definedName>
    <definedName name="a" localSheetId="0">[1]soboslik!#REF!</definedName>
    <definedName name="a" localSheetId="2">[1]soboslik!#REF!</definedName>
    <definedName name="a">[1]soboslik!#REF!</definedName>
    <definedName name="CELIJA" localSheetId="0">#REF!</definedName>
    <definedName name="CELIJA" localSheetId="2">#REF!</definedName>
    <definedName name="CELIJA">#REF!</definedName>
    <definedName name="d" localSheetId="0">#REF!</definedName>
    <definedName name="d" localSheetId="2">#REF!</definedName>
    <definedName name="d">#REF!</definedName>
    <definedName name="da" localSheetId="0">#REF!</definedName>
    <definedName name="da" localSheetId="2">#REF!</definedName>
    <definedName name="da">#REF!</definedName>
    <definedName name="hortikultura" localSheetId="0">[1]soboslik!#REF!</definedName>
    <definedName name="hortikultura" localSheetId="2">[1]soboslik!#REF!</definedName>
    <definedName name="hortikultura">[1]soboslik!#REF!</definedName>
    <definedName name="NOVA" localSheetId="0">#REF!</definedName>
    <definedName name="NOVA" localSheetId="2">#REF!</definedName>
    <definedName name="NOVA">#REF!</definedName>
    <definedName name="_xlnm.Print_Area" localSheetId="3">'MAPA 1- Z2 - Građ.obrtnički rad'!$C$1:$I$545</definedName>
    <definedName name="_xlnm.Print_Area" localSheetId="0">'MAPA 1-OPĆI UVJETI'!$C$1:$H$410</definedName>
    <definedName name="_xlnm.Print_Area" localSheetId="2">'MAPA 1--Z1 - Građ.obrtnički rad'!$C$1:$I$525</definedName>
    <definedName name="_xlnm.Print_Area" localSheetId="5">'MAPA 3-STROJARSTVO'!$A$1:$G$486</definedName>
    <definedName name="_xlnm.Print_Area" localSheetId="7">'MAPA 4-KANALIZACIJA'!$A$1:$G$73</definedName>
    <definedName name="_xlnm.Print_Area" localSheetId="6">'MAPA 4-VODA'!$A$1:$G$77</definedName>
    <definedName name="_xlnm.Print_Area" localSheetId="10">'MAPA 5-VATRODOJAVA'!$A$1:$I$132</definedName>
    <definedName name="_xlnm.Print_Titles" localSheetId="0">'MAPA 1-OPĆI UVJETI'!$1:$5</definedName>
    <definedName name="_xlnm.Print_Titles" localSheetId="2">'MAPA 1--Z1 - Građ.obrtnički rad'!$1:$9</definedName>
    <definedName name="RED" localSheetId="0">#REF!</definedName>
    <definedName name="RED" localSheetId="2">#REF!</definedName>
    <definedName name="RED">#REF!</definedName>
    <definedName name="STROJARSTVO" localSheetId="0">#REF!</definedName>
    <definedName name="STROJARSTVO" localSheetId="2">#REF!</definedName>
    <definedName name="STROJARSTVO">#REF!</definedName>
    <definedName name="UKUPNO1">[1]ZEMLJAN!$F$10</definedName>
    <definedName name="UKUPNO10" localSheetId="0">#REF!</definedName>
    <definedName name="UKUPNO10" localSheetId="2">#REF!</definedName>
    <definedName name="UKUPNO10">#REF!</definedName>
    <definedName name="UKUPNO11" localSheetId="0">#REF!</definedName>
    <definedName name="UKUPNO11" localSheetId="2">#REF!</definedName>
    <definedName name="UKUPNO11">#REF!</definedName>
    <definedName name="UKUPNO12" localSheetId="0">[1]soboslik!#REF!</definedName>
    <definedName name="UKUPNO12" localSheetId="2">[1]soboslik!#REF!</definedName>
    <definedName name="UKUPNO12">[1]soboslik!#REF!</definedName>
    <definedName name="UKUPNO13" localSheetId="0">'[1]razni '!#REF!</definedName>
    <definedName name="UKUPNO13" localSheetId="2">'[1]razni '!#REF!</definedName>
    <definedName name="UKUPNO13">'[1]razni '!#REF!</definedName>
    <definedName name="UKUPNO14" localSheetId="0">#REF!</definedName>
    <definedName name="UKUPNO14" localSheetId="2">#REF!</definedName>
    <definedName name="UKUPNO14">#REF!</definedName>
    <definedName name="UKUPNO15" localSheetId="0">#REF!</definedName>
    <definedName name="UKUPNO15" localSheetId="2">#REF!</definedName>
    <definedName name="UKUPNO15">#REF!</definedName>
    <definedName name="UKUPNO16" localSheetId="0">#REF!</definedName>
    <definedName name="UKUPNO16" localSheetId="2">#REF!</definedName>
    <definedName name="UKUPNO16">#REF!</definedName>
    <definedName name="UKUPNO17" localSheetId="0">#REF!</definedName>
    <definedName name="UKUPNO17" localSheetId="2">#REF!</definedName>
    <definedName name="UKUPNO17">#REF!</definedName>
    <definedName name="UKUPNO18" localSheetId="0">#REF!</definedName>
    <definedName name="UKUPNO18" localSheetId="2">#REF!</definedName>
    <definedName name="UKUPNO18">#REF!</definedName>
    <definedName name="UKUPNO19" localSheetId="0">#REF!</definedName>
    <definedName name="UKUPNO19" localSheetId="2">#REF!</definedName>
    <definedName name="UKUPNO19">#REF!</definedName>
    <definedName name="UKUPNO2">'[2]RAZNI RADOVI'!$F$22</definedName>
    <definedName name="UKUPNO20" localSheetId="0">#REF!</definedName>
    <definedName name="UKUPNO20" localSheetId="2">#REF!</definedName>
    <definedName name="UKUPNO20">#REF!</definedName>
    <definedName name="UKUPNO3" localSheetId="0">#REF!</definedName>
    <definedName name="UKUPNO3" localSheetId="2">#REF!</definedName>
    <definedName name="UKUPNO3">#REF!</definedName>
    <definedName name="UKUPNO4">[1]izolacija!$F$13</definedName>
    <definedName name="UKUPNO5">'[1]oprema dvor.'!$F$28</definedName>
    <definedName name="UKUPNO6">[1]okoliš!$F$25</definedName>
    <definedName name="UKUPNO7" localSheetId="0">#REF!</definedName>
    <definedName name="UKUPNO7" localSheetId="2">#REF!</definedName>
    <definedName name="UKUPNO7">#REF!</definedName>
    <definedName name="UKUPNO8" localSheetId="0">[1]elektr!#REF!</definedName>
    <definedName name="UKUPNO8" localSheetId="2">[1]elektr!#REF!</definedName>
    <definedName name="UKUPNO8">[1]elektr!#REF!</definedName>
    <definedName name="UKUPNO9" localSheetId="0">[1]PLIN!#REF!</definedName>
    <definedName name="UKUPNO9" localSheetId="2">[1]PLIN!#REF!</definedName>
    <definedName name="UKUPNO9">[1]PLIN!#REF!</definedName>
  </definedNames>
  <calcPr calcId="152511"/>
</workbook>
</file>

<file path=xl/calcChain.xml><?xml version="1.0" encoding="utf-8"?>
<calcChain xmlns="http://schemas.openxmlformats.org/spreadsheetml/2006/main">
  <c r="I126" i="54" l="1"/>
  <c r="I124" i="54"/>
  <c r="I122" i="54"/>
  <c r="I119" i="54"/>
  <c r="I115" i="54"/>
  <c r="I111" i="54"/>
  <c r="I107" i="54"/>
  <c r="I103" i="54"/>
  <c r="I99" i="54"/>
  <c r="I95" i="54"/>
  <c r="I91" i="54"/>
  <c r="I87" i="54"/>
  <c r="I83" i="54"/>
  <c r="I79" i="54"/>
  <c r="I75" i="54"/>
  <c r="I71" i="54"/>
  <c r="I67" i="54"/>
  <c r="I63" i="54"/>
  <c r="I128" i="54" s="1"/>
  <c r="F16" i="53" s="1"/>
  <c r="H554" i="50"/>
  <c r="H543" i="50"/>
  <c r="H557" i="50" s="1"/>
  <c r="H541" i="50"/>
  <c r="H533" i="50"/>
  <c r="H531" i="50"/>
  <c r="H529" i="50"/>
  <c r="H527" i="50"/>
  <c r="H525" i="50"/>
  <c r="H523" i="50"/>
  <c r="H515" i="50"/>
  <c r="H512" i="50"/>
  <c r="H508" i="50"/>
  <c r="H507" i="50"/>
  <c r="H501" i="50"/>
  <c r="H497" i="50"/>
  <c r="H489" i="50"/>
  <c r="H493" i="50"/>
  <c r="H472" i="50"/>
  <c r="H468" i="50"/>
  <c r="H464" i="50"/>
  <c r="H458" i="50"/>
  <c r="H454" i="50"/>
  <c r="H450" i="50"/>
  <c r="H446" i="50"/>
  <c r="H441" i="50"/>
  <c r="H437" i="50"/>
  <c r="H519" i="50" s="1"/>
  <c r="H412" i="50"/>
  <c r="H410" i="50"/>
  <c r="H408" i="50"/>
  <c r="H406" i="50"/>
  <c r="H404" i="50"/>
  <c r="H402" i="50"/>
  <c r="H400" i="50"/>
  <c r="H398" i="50"/>
  <c r="H396" i="50"/>
  <c r="H395" i="50"/>
  <c r="H391" i="50"/>
  <c r="H390" i="50"/>
  <c r="H386" i="50"/>
  <c r="H384" i="50"/>
  <c r="H381" i="50"/>
  <c r="H380" i="50"/>
  <c r="H379" i="50"/>
  <c r="H378" i="50"/>
  <c r="H377" i="50"/>
  <c r="H373" i="50"/>
  <c r="H372" i="50"/>
  <c r="H371" i="50"/>
  <c r="H370" i="50"/>
  <c r="H369" i="50"/>
  <c r="H366" i="50"/>
  <c r="H362" i="50"/>
  <c r="H414" i="50" s="1"/>
  <c r="H237" i="50"/>
  <c r="H351" i="50" s="1"/>
  <c r="H347" i="50"/>
  <c r="H346" i="50"/>
  <c r="H345" i="50"/>
  <c r="H344" i="50"/>
  <c r="H343" i="50"/>
  <c r="H339" i="50"/>
  <c r="H338" i="50"/>
  <c r="H337" i="50"/>
  <c r="H336" i="50"/>
  <c r="H335" i="50"/>
  <c r="H332" i="50"/>
  <c r="H330" i="50"/>
  <c r="H329" i="50"/>
  <c r="H326" i="50"/>
  <c r="H325" i="50"/>
  <c r="H324" i="50"/>
  <c r="H323" i="50"/>
  <c r="H322" i="50"/>
  <c r="H321" i="50"/>
  <c r="H320" i="50"/>
  <c r="H319" i="50"/>
  <c r="H318" i="50"/>
  <c r="H317" i="50"/>
  <c r="H316" i="50"/>
  <c r="H310" i="50"/>
  <c r="H304" i="50"/>
  <c r="H298" i="50"/>
  <c r="H292" i="50"/>
  <c r="H285" i="50"/>
  <c r="H279" i="50"/>
  <c r="H276" i="50"/>
  <c r="H273" i="50"/>
  <c r="H270" i="50"/>
  <c r="H261" i="50"/>
  <c r="H267" i="50"/>
  <c r="H264" i="50"/>
  <c r="H258" i="50"/>
  <c r="H255" i="50"/>
  <c r="H252" i="50"/>
  <c r="H249" i="50"/>
  <c r="H246" i="50"/>
  <c r="H243" i="50"/>
  <c r="H240" i="50"/>
  <c r="H229" i="50"/>
  <c r="H228" i="50"/>
  <c r="H227" i="50"/>
  <c r="H226" i="50"/>
  <c r="H225" i="50"/>
  <c r="H224" i="50"/>
  <c r="H223" i="50"/>
  <c r="H222" i="50"/>
  <c r="H221" i="50"/>
  <c r="H220" i="50"/>
  <c r="H219" i="50"/>
  <c r="H218" i="50"/>
  <c r="H217" i="50"/>
  <c r="H216" i="50"/>
  <c r="H231" i="50" s="1"/>
  <c r="H215" i="50"/>
  <c r="H202" i="50"/>
  <c r="H200" i="50"/>
  <c r="H199" i="50"/>
  <c r="H198" i="50"/>
  <c r="H197" i="50"/>
  <c r="H196" i="50"/>
  <c r="H195" i="50"/>
  <c r="H194" i="50"/>
  <c r="H193" i="50"/>
  <c r="H192" i="50"/>
  <c r="H191" i="50"/>
  <c r="H190" i="50"/>
  <c r="H189" i="50"/>
  <c r="H188" i="50"/>
  <c r="H187" i="50"/>
  <c r="H186" i="50"/>
  <c r="H181" i="50"/>
  <c r="H179" i="50"/>
  <c r="H178" i="50"/>
  <c r="H176" i="50"/>
  <c r="H174" i="50"/>
  <c r="H172" i="50"/>
  <c r="H170" i="50"/>
  <c r="H168" i="50"/>
  <c r="H166" i="50"/>
  <c r="H164" i="50"/>
  <c r="H162" i="50"/>
  <c r="H160" i="50"/>
  <c r="H159" i="50"/>
  <c r="H102" i="50"/>
  <c r="H156" i="50"/>
  <c r="H154" i="50"/>
  <c r="H152" i="50"/>
  <c r="H150" i="50"/>
  <c r="H148" i="50"/>
  <c r="H146" i="50"/>
  <c r="H144" i="50"/>
  <c r="H142" i="50"/>
  <c r="H140" i="50"/>
  <c r="H139" i="50"/>
  <c r="H136" i="50"/>
  <c r="H134" i="50"/>
  <c r="H131" i="50"/>
  <c r="H129" i="50"/>
  <c r="H127" i="50"/>
  <c r="H125" i="50"/>
  <c r="H123" i="50"/>
  <c r="H121" i="50"/>
  <c r="H119" i="50"/>
  <c r="H117" i="50"/>
  <c r="H115" i="50"/>
  <c r="H113" i="50"/>
  <c r="H111" i="50"/>
  <c r="H109" i="50"/>
  <c r="H107" i="50"/>
  <c r="H106" i="50"/>
  <c r="H100" i="50"/>
  <c r="H97" i="50"/>
  <c r="H95" i="50"/>
  <c r="H93" i="50"/>
  <c r="H91" i="50"/>
  <c r="H89" i="50"/>
  <c r="H88" i="50"/>
  <c r="H86" i="50"/>
  <c r="H84" i="50"/>
  <c r="H82" i="50"/>
  <c r="H81" i="50"/>
  <c r="H207" i="50" s="1"/>
  <c r="G56" i="52"/>
  <c r="G55" i="52"/>
  <c r="G52" i="52"/>
  <c r="G50" i="52"/>
  <c r="G47" i="52"/>
  <c r="G44" i="52"/>
  <c r="G41" i="52"/>
  <c r="G36" i="52"/>
  <c r="G32" i="52"/>
  <c r="G29" i="52"/>
  <c r="G26" i="52"/>
  <c r="G23" i="52"/>
  <c r="G20" i="52"/>
  <c r="G17" i="52"/>
  <c r="G14" i="52"/>
  <c r="G8" i="52"/>
  <c r="G61" i="52" s="1"/>
  <c r="G68" i="51"/>
  <c r="G60" i="51"/>
  <c r="G57" i="51"/>
  <c r="G53" i="51"/>
  <c r="G50" i="51"/>
  <c r="G47" i="51"/>
  <c r="G44" i="51"/>
  <c r="G41" i="51"/>
  <c r="G40" i="51"/>
  <c r="G39" i="51"/>
  <c r="G38" i="51"/>
  <c r="G37" i="51"/>
  <c r="G34" i="51"/>
  <c r="G33" i="51"/>
  <c r="G30" i="51"/>
  <c r="G70" i="51" s="1"/>
  <c r="G21" i="51"/>
  <c r="G18" i="51"/>
  <c r="G15" i="51"/>
  <c r="G12" i="51"/>
  <c r="G9" i="51"/>
  <c r="G6" i="51"/>
  <c r="G24" i="51" s="1"/>
  <c r="G73" i="51" s="1"/>
  <c r="G73" i="49"/>
  <c r="G70" i="49"/>
  <c r="G67" i="49"/>
  <c r="G64" i="49"/>
  <c r="G61" i="49"/>
  <c r="G60" i="49"/>
  <c r="G57" i="49"/>
  <c r="G54" i="49"/>
  <c r="G51" i="49"/>
  <c r="G50" i="49"/>
  <c r="G47" i="49"/>
  <c r="G46" i="49"/>
  <c r="G45" i="49"/>
  <c r="G44" i="49"/>
  <c r="G41" i="49"/>
  <c r="G40" i="49"/>
  <c r="G37" i="49"/>
  <c r="G36" i="49"/>
  <c r="G35" i="49"/>
  <c r="G34" i="49"/>
  <c r="G30" i="49"/>
  <c r="G29" i="49"/>
  <c r="G75" i="49" s="1"/>
  <c r="G20" i="49"/>
  <c r="G14" i="49"/>
  <c r="G11" i="49"/>
  <c r="G9" i="49"/>
  <c r="G468" i="48"/>
  <c r="G463" i="48"/>
  <c r="G459" i="48"/>
  <c r="G455" i="48"/>
  <c r="G454" i="48"/>
  <c r="G450" i="48"/>
  <c r="G449" i="48"/>
  <c r="G443" i="48"/>
  <c r="G394" i="48"/>
  <c r="G350" i="48"/>
  <c r="G306" i="48"/>
  <c r="G471" i="48" s="1"/>
  <c r="G482" i="48" s="1"/>
  <c r="G264" i="48"/>
  <c r="G257" i="48"/>
  <c r="G253" i="48"/>
  <c r="G252" i="48"/>
  <c r="G249" i="48"/>
  <c r="G245" i="48"/>
  <c r="G241" i="48"/>
  <c r="G232" i="48"/>
  <c r="G228" i="48"/>
  <c r="G223" i="48"/>
  <c r="G220" i="48"/>
  <c r="G219" i="48"/>
  <c r="G218" i="48"/>
  <c r="G217" i="48"/>
  <c r="G213" i="48"/>
  <c r="G209" i="48"/>
  <c r="G205" i="48"/>
  <c r="G204" i="48"/>
  <c r="G200" i="48"/>
  <c r="G198" i="48"/>
  <c r="G197" i="48"/>
  <c r="G193" i="48"/>
  <c r="G185" i="48"/>
  <c r="G179" i="48"/>
  <c r="G267" i="48" s="1"/>
  <c r="G480" i="48" s="1"/>
  <c r="G167" i="48"/>
  <c r="G158" i="48"/>
  <c r="G150" i="48"/>
  <c r="G145" i="48"/>
  <c r="G136" i="48"/>
  <c r="G132" i="48"/>
  <c r="I515" i="43"/>
  <c r="G126" i="48"/>
  <c r="G121" i="48"/>
  <c r="G115" i="48"/>
  <c r="G114" i="48"/>
  <c r="G113" i="48"/>
  <c r="G112" i="48"/>
  <c r="G111" i="48"/>
  <c r="G102" i="48"/>
  <c r="G101" i="48"/>
  <c r="G97" i="48"/>
  <c r="G96" i="48"/>
  <c r="G92" i="48"/>
  <c r="G91" i="48"/>
  <c r="G85" i="48"/>
  <c r="G77" i="48"/>
  <c r="G76" i="48"/>
  <c r="G69" i="48"/>
  <c r="G59" i="48"/>
  <c r="G47" i="48"/>
  <c r="G33" i="48"/>
  <c r="G32" i="48"/>
  <c r="G28" i="48"/>
  <c r="G24" i="48"/>
  <c r="G170" i="48" s="1"/>
  <c r="G478" i="48" s="1"/>
  <c r="I518" i="43"/>
  <c r="I512" i="43"/>
  <c r="I520" i="43" s="1"/>
  <c r="I539" i="43" s="1"/>
  <c r="I500" i="43"/>
  <c r="I490" i="43"/>
  <c r="I486" i="43"/>
  <c r="I492" i="43" s="1"/>
  <c r="I537" i="43" s="1"/>
  <c r="I475" i="43"/>
  <c r="I462" i="43"/>
  <c r="I456" i="43"/>
  <c r="I464" i="43" s="1"/>
  <c r="I536" i="43" s="1"/>
  <c r="I446" i="43"/>
  <c r="I435" i="43"/>
  <c r="I410" i="43"/>
  <c r="I395" i="43"/>
  <c r="I381" i="43"/>
  <c r="I378" i="43"/>
  <c r="I375" i="43"/>
  <c r="I374" i="43"/>
  <c r="I370" i="43"/>
  <c r="I367" i="43"/>
  <c r="I365" i="43"/>
  <c r="I363" i="43"/>
  <c r="I361" i="43"/>
  <c r="I359" i="43"/>
  <c r="I357" i="43"/>
  <c r="I346" i="43"/>
  <c r="I344" i="43"/>
  <c r="I342" i="43"/>
  <c r="I340" i="43"/>
  <c r="I338" i="43"/>
  <c r="I336" i="43"/>
  <c r="I334" i="43"/>
  <c r="I332" i="43"/>
  <c r="I330" i="43"/>
  <c r="I328" i="43"/>
  <c r="I383" i="43" s="1"/>
  <c r="I532" i="43" s="1"/>
  <c r="I305" i="43"/>
  <c r="I304" i="43"/>
  <c r="I294" i="43"/>
  <c r="I293" i="43"/>
  <c r="I287" i="43"/>
  <c r="I281" i="43"/>
  <c r="I278" i="43"/>
  <c r="I250" i="43"/>
  <c r="I236" i="43"/>
  <c r="I208" i="43"/>
  <c r="I207" i="43"/>
  <c r="I206" i="43"/>
  <c r="I199" i="43"/>
  <c r="I161" i="43"/>
  <c r="I160" i="43"/>
  <c r="I159" i="43"/>
  <c r="I101" i="43"/>
  <c r="I85" i="43"/>
  <c r="I84" i="43"/>
  <c r="I80" i="43"/>
  <c r="I78" i="43"/>
  <c r="I75" i="43"/>
  <c r="I72" i="43"/>
  <c r="I69" i="43"/>
  <c r="I66" i="43"/>
  <c r="I63" i="43"/>
  <c r="I62" i="43"/>
  <c r="I61" i="43"/>
  <c r="I60" i="43"/>
  <c r="I59" i="43"/>
  <c r="I55" i="43"/>
  <c r="I54" i="43"/>
  <c r="I23" i="43"/>
  <c r="I381" i="42"/>
  <c r="I380" i="42"/>
  <c r="I379" i="42"/>
  <c r="I378" i="42"/>
  <c r="I377" i="42"/>
  <c r="I113" i="42"/>
  <c r="G484" i="48" l="1"/>
  <c r="F10" i="53" s="1"/>
  <c r="G22" i="49"/>
  <c r="G77" i="49" s="1"/>
  <c r="F12" i="53" s="1"/>
  <c r="H535" i="50"/>
  <c r="H569" i="50" l="1"/>
  <c r="H568" i="50"/>
  <c r="H567" i="50"/>
  <c r="H566" i="50"/>
  <c r="H565" i="50"/>
  <c r="H564" i="50"/>
  <c r="H563" i="50"/>
  <c r="H570" i="50" l="1"/>
  <c r="F14" i="53" s="1"/>
  <c r="G100" i="42" l="1"/>
  <c r="I100" i="42"/>
  <c r="A99" i="42"/>
  <c r="G119" i="42"/>
  <c r="I390" i="42" l="1"/>
  <c r="G401" i="42"/>
  <c r="I401" i="42" s="1"/>
  <c r="A400" i="42"/>
  <c r="I233" i="42"/>
  <c r="G97" i="42"/>
  <c r="I97" i="42" s="1"/>
  <c r="G470" i="42" l="1"/>
  <c r="I476" i="42"/>
  <c r="I470" i="42"/>
  <c r="G445" i="43" l="1"/>
  <c r="I445" i="43" s="1"/>
  <c r="I448" i="43" s="1"/>
  <c r="I535" i="43" s="1"/>
  <c r="G389" i="43"/>
  <c r="I389" i="43" s="1"/>
  <c r="G398" i="42"/>
  <c r="A397" i="42"/>
  <c r="I398" i="42"/>
  <c r="G441" i="42" l="1"/>
  <c r="G442" i="42" s="1"/>
  <c r="G360" i="42" l="1"/>
  <c r="I356" i="42"/>
  <c r="A356" i="42"/>
  <c r="A355" i="42"/>
  <c r="I353" i="42"/>
  <c r="A353" i="42"/>
  <c r="I352" i="42"/>
  <c r="A352" i="42"/>
  <c r="G490" i="42" l="1"/>
  <c r="G415" i="43"/>
  <c r="G401" i="43"/>
  <c r="I401" i="43" s="1"/>
  <c r="G308" i="43"/>
  <c r="I308" i="43" s="1"/>
  <c r="I310" i="43" s="1"/>
  <c r="I531" i="43" s="1"/>
  <c r="A307" i="43"/>
  <c r="G398" i="43"/>
  <c r="I398" i="43" s="1"/>
  <c r="G392" i="43"/>
  <c r="I392" i="43" s="1"/>
  <c r="I403" i="43" s="1"/>
  <c r="I533" i="43" s="1"/>
  <c r="G247" i="43"/>
  <c r="I247" i="43" s="1"/>
  <c r="G501" i="43"/>
  <c r="I501" i="43" s="1"/>
  <c r="G270" i="43"/>
  <c r="I270" i="43" s="1"/>
  <c r="I272" i="43" s="1"/>
  <c r="I530" i="43" s="1"/>
  <c r="D492" i="43"/>
  <c r="B160" i="43"/>
  <c r="A160" i="43"/>
  <c r="B159" i="43"/>
  <c r="A159" i="43"/>
  <c r="A367" i="43"/>
  <c r="G503" i="43"/>
  <c r="I503" i="43" s="1"/>
  <c r="G420" i="43"/>
  <c r="I420" i="43" s="1"/>
  <c r="G290" i="43"/>
  <c r="I290" i="43" s="1"/>
  <c r="G104" i="43"/>
  <c r="I104" i="43" s="1"/>
  <c r="G416" i="43" l="1"/>
  <c r="I416" i="43" s="1"/>
  <c r="I415" i="43"/>
  <c r="I506" i="43"/>
  <c r="I538" i="43" s="1"/>
  <c r="B104" i="43"/>
  <c r="A104" i="43"/>
  <c r="B103" i="43"/>
  <c r="A103" i="43"/>
  <c r="G155" i="43"/>
  <c r="I155" i="43" s="1"/>
  <c r="O22" i="45"/>
  <c r="B156" i="43"/>
  <c r="A156" i="43"/>
  <c r="B155" i="43"/>
  <c r="A155" i="43"/>
  <c r="B154" i="43"/>
  <c r="A154" i="43"/>
  <c r="B153" i="43"/>
  <c r="A153" i="43"/>
  <c r="G99" i="43"/>
  <c r="I99" i="43" s="1"/>
  <c r="G132" i="43"/>
  <c r="B133" i="43"/>
  <c r="A133" i="43"/>
  <c r="B132" i="43"/>
  <c r="A132" i="43"/>
  <c r="B131" i="43"/>
  <c r="A131" i="43"/>
  <c r="B130" i="43"/>
  <c r="A130" i="43"/>
  <c r="G144" i="43"/>
  <c r="I144" i="43" s="1"/>
  <c r="G143" i="43"/>
  <c r="I143" i="43" s="1"/>
  <c r="B144" i="43"/>
  <c r="A144" i="43"/>
  <c r="B143" i="43"/>
  <c r="A143" i="43"/>
  <c r="B142" i="43"/>
  <c r="A142" i="43"/>
  <c r="B141" i="43"/>
  <c r="A141" i="43"/>
  <c r="G133" i="43" l="1"/>
  <c r="I133" i="43" s="1"/>
  <c r="I132" i="43"/>
  <c r="G156" i="43"/>
  <c r="I156" i="43" s="1"/>
  <c r="G145" i="43"/>
  <c r="I145" i="43" s="1"/>
  <c r="B192" i="43" l="1"/>
  <c r="I490" i="42"/>
  <c r="A490" i="42"/>
  <c r="G269" i="42"/>
  <c r="A535" i="43"/>
  <c r="A536" i="43"/>
  <c r="A537" i="43"/>
  <c r="A538" i="43"/>
  <c r="A539" i="43"/>
  <c r="D538" i="43"/>
  <c r="C538" i="43"/>
  <c r="D506" i="43"/>
  <c r="C506" i="43"/>
  <c r="A506" i="43"/>
  <c r="A503" i="43"/>
  <c r="A501" i="43"/>
  <c r="A500" i="43"/>
  <c r="A499" i="43"/>
  <c r="A498" i="43"/>
  <c r="A497" i="43"/>
  <c r="A496" i="43"/>
  <c r="A495" i="43"/>
  <c r="D536" i="43" l="1"/>
  <c r="C536" i="43"/>
  <c r="D464" i="43"/>
  <c r="C464" i="43"/>
  <c r="A464" i="43"/>
  <c r="A451" i="43"/>
  <c r="A450" i="43"/>
  <c r="I442" i="42"/>
  <c r="I441" i="42"/>
  <c r="D520" i="42"/>
  <c r="C520" i="42"/>
  <c r="A479" i="42"/>
  <c r="C478" i="42"/>
  <c r="A478" i="42"/>
  <c r="A465" i="42"/>
  <c r="A464" i="42"/>
  <c r="I94" i="42"/>
  <c r="I91" i="42"/>
  <c r="I279" i="42"/>
  <c r="I278" i="42"/>
  <c r="G150" i="43"/>
  <c r="I150" i="43" s="1"/>
  <c r="G149" i="43"/>
  <c r="B150" i="43"/>
  <c r="A150" i="43"/>
  <c r="B149" i="43"/>
  <c r="A149" i="43"/>
  <c r="G123" i="43"/>
  <c r="I123" i="43" s="1"/>
  <c r="B123" i="43"/>
  <c r="A123" i="43"/>
  <c r="A444" i="43"/>
  <c r="G424" i="43"/>
  <c r="I424" i="43" s="1"/>
  <c r="A425" i="43"/>
  <c r="A424" i="43"/>
  <c r="A423" i="43"/>
  <c r="I269" i="42"/>
  <c r="I88" i="42"/>
  <c r="I492" i="42"/>
  <c r="I370" i="42"/>
  <c r="I367" i="42"/>
  <c r="I364" i="42"/>
  <c r="I149" i="42"/>
  <c r="I182" i="42"/>
  <c r="I70" i="42"/>
  <c r="I73" i="42"/>
  <c r="I76" i="42"/>
  <c r="I82" i="42"/>
  <c r="I81" i="42"/>
  <c r="I80" i="42"/>
  <c r="I79" i="42"/>
  <c r="I67" i="42"/>
  <c r="I66" i="42"/>
  <c r="I62" i="42"/>
  <c r="I61" i="42"/>
  <c r="I60" i="42"/>
  <c r="I59" i="42"/>
  <c r="I58" i="42"/>
  <c r="I57" i="42"/>
  <c r="I56" i="42"/>
  <c r="I55" i="42"/>
  <c r="I54" i="42"/>
  <c r="I53" i="42"/>
  <c r="I19" i="42"/>
  <c r="G176" i="42"/>
  <c r="I176" i="42" s="1"/>
  <c r="D184" i="42"/>
  <c r="A365" i="43"/>
  <c r="G411" i="43"/>
  <c r="I411" i="43" s="1"/>
  <c r="I438" i="43" l="1"/>
  <c r="I534" i="43" s="1"/>
  <c r="G151" i="43"/>
  <c r="I151" i="43" s="1"/>
  <c r="I149" i="43"/>
  <c r="I478" i="42"/>
  <c r="I520" i="42" s="1"/>
  <c r="G421" i="43"/>
  <c r="I421" i="43" s="1"/>
  <c r="G198" i="42" l="1"/>
  <c r="I198" i="42" s="1"/>
  <c r="A198" i="42"/>
  <c r="A197" i="42"/>
  <c r="G224" i="43"/>
  <c r="I224" i="43" s="1"/>
  <c r="A224" i="43"/>
  <c r="G175" i="43"/>
  <c r="G172" i="43"/>
  <c r="I172" i="43" s="1"/>
  <c r="G169" i="43"/>
  <c r="I169" i="43" s="1"/>
  <c r="G178" i="43"/>
  <c r="I178" i="43" s="1"/>
  <c r="G284" i="43"/>
  <c r="I284" i="43" s="1"/>
  <c r="I295" i="43" s="1"/>
  <c r="A492" i="42"/>
  <c r="A326" i="43"/>
  <c r="G256" i="43"/>
  <c r="I256" i="43" s="1"/>
  <c r="G190" i="43"/>
  <c r="A192" i="43"/>
  <c r="G129" i="42"/>
  <c r="CE5" i="45"/>
  <c r="G138" i="43"/>
  <c r="I138" i="43" s="1"/>
  <c r="G137" i="43"/>
  <c r="G93" i="43"/>
  <c r="G96" i="43" l="1"/>
  <c r="I96" i="43" s="1"/>
  <c r="I93" i="43"/>
  <c r="I125" i="43" s="1"/>
  <c r="I525" i="43" s="1"/>
  <c r="G202" i="43"/>
  <c r="I202" i="43" s="1"/>
  <c r="I175" i="43"/>
  <c r="G196" i="43"/>
  <c r="I190" i="43"/>
  <c r="G139" i="43"/>
  <c r="I139" i="43" s="1"/>
  <c r="I137" i="43"/>
  <c r="D448" i="43"/>
  <c r="C448" i="43"/>
  <c r="A448" i="43"/>
  <c r="A441" i="43"/>
  <c r="A440" i="43"/>
  <c r="A269" i="42"/>
  <c r="G221" i="43" l="1"/>
  <c r="I221" i="43" s="1"/>
  <c r="I196" i="43"/>
  <c r="I163" i="43"/>
  <c r="I526" i="43" s="1"/>
  <c r="G253" i="43"/>
  <c r="I253" i="43" s="1"/>
  <c r="I258" i="43" s="1"/>
  <c r="I529" i="43" s="1"/>
  <c r="BX31" i="45"/>
  <c r="AA31" i="45"/>
  <c r="G26" i="43" s="1"/>
  <c r="I26" i="43" s="1"/>
  <c r="T22" i="45"/>
  <c r="T18" i="45"/>
  <c r="T31" i="45" l="1"/>
  <c r="G50" i="43" s="1"/>
  <c r="I50" i="43" s="1"/>
  <c r="L31" i="45"/>
  <c r="S44" i="45" l="1"/>
  <c r="S43" i="45"/>
  <c r="S42" i="45"/>
  <c r="S41" i="45"/>
  <c r="S40" i="45"/>
  <c r="S39" i="45"/>
  <c r="S38" i="45"/>
  <c r="R56" i="45"/>
  <c r="R55" i="45"/>
  <c r="R54" i="45"/>
  <c r="R53" i="45"/>
  <c r="R52" i="45"/>
  <c r="R51" i="45"/>
  <c r="R50" i="45"/>
  <c r="R49" i="45"/>
  <c r="R48" i="45"/>
  <c r="R47" i="45"/>
  <c r="R46" i="45"/>
  <c r="R45" i="45"/>
  <c r="R44" i="45"/>
  <c r="R43" i="45"/>
  <c r="R42" i="45"/>
  <c r="R41" i="45"/>
  <c r="R40" i="45"/>
  <c r="R39" i="45"/>
  <c r="R37" i="45" s="1"/>
  <c r="R31" i="45" s="1"/>
  <c r="R38" i="45"/>
  <c r="AE32" i="45"/>
  <c r="AE31" i="45"/>
  <c r="AI30" i="45"/>
  <c r="S37" i="45" l="1"/>
  <c r="S31" i="45" s="1"/>
  <c r="BU31" i="45" s="1"/>
  <c r="G20" i="43"/>
  <c r="I20" i="43" s="1"/>
  <c r="BW31" i="45"/>
  <c r="N24" i="45"/>
  <c r="N31" i="45" s="1"/>
  <c r="G38" i="43" s="1"/>
  <c r="I38" i="43" s="1"/>
  <c r="O23" i="45" l="1"/>
  <c r="O31" i="45" s="1"/>
  <c r="G41" i="43" s="1"/>
  <c r="I41" i="43" s="1"/>
  <c r="P18" i="45"/>
  <c r="P31" i="45" s="1"/>
  <c r="G44" i="43" s="1"/>
  <c r="I44" i="43" s="1"/>
  <c r="Q18" i="45"/>
  <c r="Q20" i="45"/>
  <c r="Q19" i="45"/>
  <c r="K22" i="45"/>
  <c r="M23" i="45"/>
  <c r="M31" i="45" s="1"/>
  <c r="G32" i="43" s="1"/>
  <c r="I32" i="43" s="1"/>
  <c r="K17" i="45"/>
  <c r="K18" i="45"/>
  <c r="K20" i="45"/>
  <c r="K19" i="45"/>
  <c r="J19" i="45"/>
  <c r="J20" i="45"/>
  <c r="J21" i="45"/>
  <c r="J22" i="45"/>
  <c r="J24" i="45"/>
  <c r="J18" i="45"/>
  <c r="J17" i="45"/>
  <c r="I19" i="45"/>
  <c r="I20" i="45"/>
  <c r="I21" i="45"/>
  <c r="I22" i="45"/>
  <c r="I23" i="45"/>
  <c r="I24" i="45"/>
  <c r="I18" i="45"/>
  <c r="I17" i="45"/>
  <c r="E16" i="45"/>
  <c r="E31" i="45"/>
  <c r="AT28" i="45"/>
  <c r="AI28" i="45"/>
  <c r="I31" i="45" l="1"/>
  <c r="K31" i="45"/>
  <c r="G35" i="43" s="1"/>
  <c r="I35" i="43" s="1"/>
  <c r="Q31" i="45"/>
  <c r="G47" i="43" s="1"/>
  <c r="I47" i="43" s="1"/>
  <c r="J31" i="45"/>
  <c r="D541" i="43"/>
  <c r="B8" i="53" s="1"/>
  <c r="C541" i="43"/>
  <c r="D534" i="43"/>
  <c r="C534" i="43"/>
  <c r="A534" i="43"/>
  <c r="A533" i="43"/>
  <c r="D532" i="43"/>
  <c r="C532" i="43"/>
  <c r="A532" i="43"/>
  <c r="A531" i="43"/>
  <c r="A530" i="43"/>
  <c r="D529" i="43"/>
  <c r="C529" i="43"/>
  <c r="A529" i="43"/>
  <c r="D528" i="43"/>
  <c r="C528" i="43"/>
  <c r="A528" i="43"/>
  <c r="D527" i="43"/>
  <c r="C527" i="43"/>
  <c r="A527" i="43"/>
  <c r="D526" i="43"/>
  <c r="C526" i="43"/>
  <c r="A526" i="43"/>
  <c r="D525" i="43"/>
  <c r="C525" i="43"/>
  <c r="A525" i="43"/>
  <c r="D524" i="43"/>
  <c r="C524" i="43"/>
  <c r="A524" i="43"/>
  <c r="A523" i="43"/>
  <c r="A522" i="43"/>
  <c r="A521" i="43"/>
  <c r="D520" i="43"/>
  <c r="D539" i="43" s="1"/>
  <c r="C520" i="43"/>
  <c r="C539" i="43" s="1"/>
  <c r="A520" i="43"/>
  <c r="A519" i="43"/>
  <c r="A518" i="43"/>
  <c r="A517" i="43"/>
  <c r="A516" i="43"/>
  <c r="A515" i="43"/>
  <c r="A514" i="43"/>
  <c r="A510" i="43"/>
  <c r="A509" i="43"/>
  <c r="A508" i="43"/>
  <c r="D537" i="43"/>
  <c r="C492" i="43"/>
  <c r="C537" i="43" s="1"/>
  <c r="A492" i="43"/>
  <c r="A469" i="43"/>
  <c r="A468" i="43"/>
  <c r="A467" i="43"/>
  <c r="A449" i="43"/>
  <c r="A439" i="43"/>
  <c r="D438" i="43"/>
  <c r="C438" i="43"/>
  <c r="A438" i="43"/>
  <c r="A422" i="43"/>
  <c r="A421" i="43"/>
  <c r="A419" i="43"/>
  <c r="A418" i="43"/>
  <c r="A417" i="43"/>
  <c r="A408" i="43"/>
  <c r="A407" i="43"/>
  <c r="A406" i="43"/>
  <c r="A405" i="43"/>
  <c r="A404" i="43"/>
  <c r="D403" i="43"/>
  <c r="D533" i="43" s="1"/>
  <c r="C403" i="43"/>
  <c r="C533" i="43" s="1"/>
  <c r="A403" i="43"/>
  <c r="A396" i="43"/>
  <c r="A388" i="43"/>
  <c r="A387" i="43"/>
  <c r="A386" i="43"/>
  <c r="A385" i="43"/>
  <c r="A384" i="43"/>
  <c r="D383" i="43"/>
  <c r="C383" i="43"/>
  <c r="A383" i="43"/>
  <c r="A375" i="43"/>
  <c r="A374" i="43"/>
  <c r="A372" i="43"/>
  <c r="A371" i="43"/>
  <c r="A370" i="43"/>
  <c r="A369" i="43"/>
  <c r="A364" i="43"/>
  <c r="A363" i="43"/>
  <c r="A361" i="43"/>
  <c r="A360" i="43"/>
  <c r="A359" i="43"/>
  <c r="A358" i="43"/>
  <c r="A357" i="43"/>
  <c r="A349" i="43"/>
  <c r="A348" i="43"/>
  <c r="A347" i="43"/>
  <c r="A346" i="43"/>
  <c r="A345" i="43"/>
  <c r="A344" i="43"/>
  <c r="A343" i="43"/>
  <c r="A342" i="43"/>
  <c r="A341" i="43"/>
  <c r="A340" i="43"/>
  <c r="A339" i="43"/>
  <c r="A338" i="43"/>
  <c r="A337" i="43"/>
  <c r="A336" i="43"/>
  <c r="A335" i="43"/>
  <c r="A334" i="43"/>
  <c r="A333" i="43"/>
  <c r="A332" i="43"/>
  <c r="A331" i="43"/>
  <c r="A330" i="43"/>
  <c r="A329" i="43"/>
  <c r="A328" i="43"/>
  <c r="A316" i="43"/>
  <c r="A315" i="43"/>
  <c r="A314" i="43"/>
  <c r="A313" i="43"/>
  <c r="A310" i="43"/>
  <c r="A292" i="43"/>
  <c r="A290" i="43"/>
  <c r="A289" i="43"/>
  <c r="A288" i="43"/>
  <c r="A287" i="43"/>
  <c r="A286" i="43"/>
  <c r="A285" i="43"/>
  <c r="A284" i="43"/>
  <c r="A283" i="43"/>
  <c r="A282" i="43"/>
  <c r="A281" i="43"/>
  <c r="A278" i="43"/>
  <c r="A277" i="43"/>
  <c r="A275" i="43"/>
  <c r="D272" i="43"/>
  <c r="D530" i="43" s="1"/>
  <c r="C272" i="43"/>
  <c r="C530" i="43" s="1"/>
  <c r="A263" i="43"/>
  <c r="A262" i="43"/>
  <c r="A261" i="43"/>
  <c r="A260" i="43"/>
  <c r="D258" i="43"/>
  <c r="C258" i="43"/>
  <c r="A258" i="43"/>
  <c r="A257" i="43"/>
  <c r="A256" i="43"/>
  <c r="A255" i="43"/>
  <c r="A254" i="43"/>
  <c r="A253" i="43"/>
  <c r="A252" i="43"/>
  <c r="A248" i="43"/>
  <c r="A247" i="43"/>
  <c r="A246" i="43"/>
  <c r="A245" i="43"/>
  <c r="A244" i="43"/>
  <c r="A243" i="43"/>
  <c r="A242" i="43"/>
  <c r="A241" i="43"/>
  <c r="A240" i="43"/>
  <c r="D239" i="43"/>
  <c r="C239" i="43"/>
  <c r="A239" i="43"/>
  <c r="A223" i="43"/>
  <c r="A221" i="43"/>
  <c r="A220" i="43"/>
  <c r="A219" i="43"/>
  <c r="A218" i="43"/>
  <c r="A217" i="43"/>
  <c r="A215" i="43"/>
  <c r="A214" i="43"/>
  <c r="A213" i="43"/>
  <c r="A211" i="43"/>
  <c r="D210" i="43"/>
  <c r="C210" i="43"/>
  <c r="B210" i="43"/>
  <c r="A210" i="43"/>
  <c r="B209" i="43"/>
  <c r="A209" i="43"/>
  <c r="B207" i="43"/>
  <c r="A207" i="43"/>
  <c r="B206" i="43"/>
  <c r="A206" i="43"/>
  <c r="B205" i="43"/>
  <c r="A205" i="43"/>
  <c r="B204" i="43"/>
  <c r="A204" i="43"/>
  <c r="B200" i="43"/>
  <c r="A200" i="43"/>
  <c r="B199" i="43"/>
  <c r="A199" i="43"/>
  <c r="B198" i="43"/>
  <c r="A198" i="43"/>
  <c r="B197" i="43"/>
  <c r="A197" i="43"/>
  <c r="B195" i="43"/>
  <c r="A195" i="43"/>
  <c r="B191" i="43"/>
  <c r="A191" i="43"/>
  <c r="B190" i="43"/>
  <c r="A190" i="43"/>
  <c r="B189" i="43"/>
  <c r="A189" i="43"/>
  <c r="B185" i="43"/>
  <c r="A185" i="43"/>
  <c r="B184" i="43"/>
  <c r="A184" i="43"/>
  <c r="B183" i="43"/>
  <c r="A183" i="43"/>
  <c r="B182" i="43"/>
  <c r="A182" i="43"/>
  <c r="B181" i="43"/>
  <c r="A181" i="43"/>
  <c r="B180" i="43"/>
  <c r="A180" i="43"/>
  <c r="B179" i="43"/>
  <c r="A179" i="43"/>
  <c r="B178" i="43"/>
  <c r="A178" i="43"/>
  <c r="B177" i="43"/>
  <c r="A177" i="43"/>
  <c r="B173" i="43"/>
  <c r="A173" i="43"/>
  <c r="B172" i="43"/>
  <c r="A172" i="43"/>
  <c r="B171" i="43"/>
  <c r="A171" i="43"/>
  <c r="B170" i="43"/>
  <c r="A170" i="43"/>
  <c r="B169" i="43"/>
  <c r="A169" i="43"/>
  <c r="B168" i="43"/>
  <c r="A168" i="43"/>
  <c r="B167" i="43"/>
  <c r="A167" i="43"/>
  <c r="B166" i="43"/>
  <c r="A166" i="43"/>
  <c r="A165" i="43"/>
  <c r="A164" i="43"/>
  <c r="D163" i="43"/>
  <c r="C163" i="43"/>
  <c r="B163" i="43"/>
  <c r="A163" i="43"/>
  <c r="B138" i="43"/>
  <c r="A138" i="43"/>
  <c r="B137" i="43"/>
  <c r="A137" i="43"/>
  <c r="B136" i="43"/>
  <c r="A136" i="43"/>
  <c r="B135" i="43"/>
  <c r="A135" i="43"/>
  <c r="B129" i="43"/>
  <c r="A129" i="43"/>
  <c r="B128" i="43"/>
  <c r="A128" i="43"/>
  <c r="A127" i="43"/>
  <c r="A126" i="43"/>
  <c r="D125" i="43"/>
  <c r="C125" i="43"/>
  <c r="B125" i="43"/>
  <c r="A125" i="43"/>
  <c r="B97" i="43"/>
  <c r="A97" i="43"/>
  <c r="B96" i="43"/>
  <c r="A96" i="43"/>
  <c r="B95" i="43"/>
  <c r="A95" i="43"/>
  <c r="B94" i="43"/>
  <c r="A94" i="43"/>
  <c r="B93" i="43"/>
  <c r="A93" i="43"/>
  <c r="B92" i="43"/>
  <c r="A92" i="43"/>
  <c r="B91" i="43"/>
  <c r="A91" i="43"/>
  <c r="B90" i="43"/>
  <c r="A90" i="43"/>
  <c r="A89" i="43"/>
  <c r="A88" i="43"/>
  <c r="D87" i="43"/>
  <c r="C87" i="43"/>
  <c r="B87" i="43"/>
  <c r="A87" i="43"/>
  <c r="B86" i="43"/>
  <c r="A86" i="43"/>
  <c r="B85" i="43"/>
  <c r="A85" i="43"/>
  <c r="B84" i="43"/>
  <c r="A84" i="43"/>
  <c r="B83" i="43"/>
  <c r="A83" i="43"/>
  <c r="B82" i="43"/>
  <c r="A82" i="43"/>
  <c r="B19" i="43"/>
  <c r="A19" i="43"/>
  <c r="B18" i="43"/>
  <c r="A18" i="43"/>
  <c r="B17" i="43"/>
  <c r="A17" i="43"/>
  <c r="B16" i="43"/>
  <c r="A16" i="43"/>
  <c r="B15" i="43"/>
  <c r="A15" i="43"/>
  <c r="B14" i="43"/>
  <c r="A14" i="43"/>
  <c r="B13" i="43"/>
  <c r="A13" i="43"/>
  <c r="I3" i="43"/>
  <c r="H3" i="43"/>
  <c r="D3" i="43"/>
  <c r="I2" i="43"/>
  <c r="H2" i="43"/>
  <c r="D2" i="43"/>
  <c r="I1" i="43"/>
  <c r="H1" i="43"/>
  <c r="D1" i="43"/>
  <c r="CD16" i="45"/>
  <c r="CC5" i="45"/>
  <c r="CC16" i="45" s="1"/>
  <c r="I406" i="42" s="1"/>
  <c r="BG8" i="45"/>
  <c r="BG6" i="45"/>
  <c r="A413" i="42"/>
  <c r="A420" i="42"/>
  <c r="A421" i="42"/>
  <c r="A422" i="42"/>
  <c r="A286" i="42"/>
  <c r="A287" i="42"/>
  <c r="A296" i="42"/>
  <c r="A299" i="42"/>
  <c r="A300" i="42"/>
  <c r="A301" i="42"/>
  <c r="A302" i="42"/>
  <c r="A303" i="42"/>
  <c r="A304" i="42"/>
  <c r="A305" i="42"/>
  <c r="A306" i="42"/>
  <c r="A307" i="42"/>
  <c r="A308" i="42"/>
  <c r="A309" i="42"/>
  <c r="A310" i="42"/>
  <c r="A311" i="42"/>
  <c r="A312" i="42"/>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42" i="42"/>
  <c r="A343" i="42"/>
  <c r="A344" i="42"/>
  <c r="A346" i="42"/>
  <c r="A347" i="42"/>
  <c r="A348" i="42"/>
  <c r="A349" i="42"/>
  <c r="A350" i="42"/>
  <c r="A351" i="42"/>
  <c r="A358" i="42"/>
  <c r="A359" i="42"/>
  <c r="A360" i="42"/>
  <c r="A361" i="42"/>
  <c r="A362" i="42"/>
  <c r="A268" i="42"/>
  <c r="A264" i="42"/>
  <c r="A265" i="42"/>
  <c r="A262" i="42"/>
  <c r="A263" i="42"/>
  <c r="A266" i="42"/>
  <c r="A267" i="42"/>
  <c r="A280" i="42"/>
  <c r="BB7" i="45"/>
  <c r="BB10" i="45"/>
  <c r="BB16" i="45" s="1"/>
  <c r="G261" i="42" s="1"/>
  <c r="BB11" i="45"/>
  <c r="BY16" i="45"/>
  <c r="G224" i="42" s="1"/>
  <c r="BY5" i="45"/>
  <c r="BX16" i="45"/>
  <c r="G218" i="42" s="1"/>
  <c r="I218" i="42" s="1"/>
  <c r="BX5" i="45"/>
  <c r="CA5" i="45"/>
  <c r="CA16" i="45" s="1"/>
  <c r="G221" i="42" s="1"/>
  <c r="AW11" i="45"/>
  <c r="CE16" i="45"/>
  <c r="G128" i="42" s="1"/>
  <c r="CB5" i="45"/>
  <c r="CB16" i="45" s="1"/>
  <c r="I119" i="42" s="1"/>
  <c r="AA11" i="45"/>
  <c r="AA10" i="45"/>
  <c r="AA9" i="45"/>
  <c r="AA8" i="45"/>
  <c r="AA7" i="45"/>
  <c r="AA6" i="45"/>
  <c r="BG16" i="45" l="1"/>
  <c r="G460" i="42" s="1"/>
  <c r="AA16" i="45"/>
  <c r="G28" i="42" s="1"/>
  <c r="I28" i="42" s="1"/>
  <c r="O11" i="45"/>
  <c r="O16" i="45" s="1"/>
  <c r="G43" i="42" s="1"/>
  <c r="I43" i="42" s="1"/>
  <c r="BU11" i="45"/>
  <c r="BV11" i="45" s="1"/>
  <c r="BU9" i="45"/>
  <c r="BV9" i="45" s="1"/>
  <c r="BU42" i="45"/>
  <c r="BU41" i="45"/>
  <c r="BU40" i="45"/>
  <c r="BU39" i="45"/>
  <c r="BU38" i="45"/>
  <c r="BU37" i="45"/>
  <c r="BU36" i="45"/>
  <c r="BU35" i="45"/>
  <c r="BW59" i="45"/>
  <c r="BW57" i="45"/>
  <c r="BW55" i="45"/>
  <c r="BW54" i="45"/>
  <c r="BW52" i="45"/>
  <c r="BW51" i="45"/>
  <c r="BW50" i="45"/>
  <c r="BW48" i="45"/>
  <c r="BW46" i="45"/>
  <c r="BW45" i="45"/>
  <c r="BW43" i="45"/>
  <c r="BW42" i="45"/>
  <c r="BW41" i="45"/>
  <c r="BW40" i="45"/>
  <c r="BW38" i="45"/>
  <c r="BW37" i="45"/>
  <c r="BW36" i="45"/>
  <c r="BW35" i="45"/>
  <c r="BI31" i="45"/>
  <c r="AX31" i="45"/>
  <c r="AW31" i="45"/>
  <c r="AT29" i="45"/>
  <c r="AT31" i="45" s="1"/>
  <c r="AI29" i="45"/>
  <c r="AQ27" i="45"/>
  <c r="AQ31" i="45" s="1"/>
  <c r="AI27" i="45"/>
  <c r="AL26" i="45"/>
  <c r="AI26" i="45"/>
  <c r="AL25" i="45"/>
  <c r="AL31" i="45" s="1"/>
  <c r="AI25" i="45"/>
  <c r="AO24" i="45"/>
  <c r="AO31" i="45" s="1"/>
  <c r="AI24" i="45"/>
  <c r="AS23" i="45"/>
  <c r="AI23" i="45"/>
  <c r="AS22" i="45"/>
  <c r="AI22" i="45"/>
  <c r="AS21" i="45"/>
  <c r="AI21" i="45"/>
  <c r="AS20" i="45"/>
  <c r="AI20" i="45"/>
  <c r="AS19" i="45"/>
  <c r="AI19" i="45"/>
  <c r="AS18" i="45"/>
  <c r="AI18" i="45"/>
  <c r="AS17" i="45"/>
  <c r="AS31" i="45" s="1"/>
  <c r="AI17" i="45"/>
  <c r="BI16" i="45"/>
  <c r="AT16" i="45"/>
  <c r="AS16" i="45"/>
  <c r="AP16" i="45"/>
  <c r="AE16" i="45"/>
  <c r="G503" i="42" s="1"/>
  <c r="G264" i="42" s="1"/>
  <c r="BR15" i="45"/>
  <c r="BS15" i="45" s="1"/>
  <c r="BJ15" i="45"/>
  <c r="AR15" i="45"/>
  <c r="AQ15" i="45"/>
  <c r="AK15" i="45"/>
  <c r="AJ15" i="45"/>
  <c r="AI15" i="45"/>
  <c r="BR14" i="45"/>
  <c r="BS14" i="45" s="1"/>
  <c r="BJ14" i="45"/>
  <c r="AZ14" i="45"/>
  <c r="AR14" i="45"/>
  <c r="AQ14" i="45"/>
  <c r="AK14" i="45"/>
  <c r="AJ14" i="45"/>
  <c r="AI14" i="45"/>
  <c r="T14" i="45"/>
  <c r="K14" i="45"/>
  <c r="J14" i="45"/>
  <c r="I14" i="45"/>
  <c r="BR13" i="45"/>
  <c r="BS13" i="45" s="1"/>
  <c r="BJ13" i="45"/>
  <c r="BC13" i="45"/>
  <c r="BC16" i="45" s="1"/>
  <c r="I360" i="42" s="1"/>
  <c r="AR13" i="45"/>
  <c r="AQ13" i="45"/>
  <c r="AK13" i="45"/>
  <c r="AJ13" i="45"/>
  <c r="AI13" i="45"/>
  <c r="N13" i="45"/>
  <c r="K13" i="45"/>
  <c r="J13" i="45"/>
  <c r="I13" i="45"/>
  <c r="BU12" i="45"/>
  <c r="BV12" i="45" s="1"/>
  <c r="BR12" i="45"/>
  <c r="BS12" i="45" s="1"/>
  <c r="BE12" i="45"/>
  <c r="BH12" i="45" s="1"/>
  <c r="AZ12" i="45"/>
  <c r="AL12" i="45"/>
  <c r="AK12" i="45"/>
  <c r="AJ12" i="45"/>
  <c r="AI12" i="45"/>
  <c r="L12" i="45"/>
  <c r="J12" i="45"/>
  <c r="I12" i="45"/>
  <c r="BR11" i="45"/>
  <c r="BS11" i="45" s="1"/>
  <c r="BM11" i="45"/>
  <c r="BE11" i="45"/>
  <c r="BH11" i="45" s="1"/>
  <c r="BA11" i="45"/>
  <c r="BA16" i="45" s="1"/>
  <c r="AX11" i="45"/>
  <c r="AW16" i="45"/>
  <c r="G138" i="42" s="1"/>
  <c r="AL11" i="45"/>
  <c r="AK11" i="45"/>
  <c r="AJ11" i="45"/>
  <c r="AI11" i="45"/>
  <c r="Z11" i="45"/>
  <c r="P11" i="45"/>
  <c r="P16" i="45" s="1"/>
  <c r="G46" i="42" s="1"/>
  <c r="I46" i="42" s="1"/>
  <c r="L11" i="45"/>
  <c r="J11" i="45"/>
  <c r="I11" i="45"/>
  <c r="BU10" i="45"/>
  <c r="BV10" i="45" s="1"/>
  <c r="BR10" i="45"/>
  <c r="BS10" i="45" s="1"/>
  <c r="BM10" i="45"/>
  <c r="BE10" i="45"/>
  <c r="BH10" i="45" s="1"/>
  <c r="AL10" i="45"/>
  <c r="AK10" i="45"/>
  <c r="AJ10" i="45"/>
  <c r="AI10" i="45"/>
  <c r="Z10" i="45"/>
  <c r="Z16" i="45" s="1"/>
  <c r="G85" i="42" s="1"/>
  <c r="I85" i="42" s="1"/>
  <c r="L10" i="45"/>
  <c r="J10" i="45"/>
  <c r="I10" i="45"/>
  <c r="BR9" i="45"/>
  <c r="BS9" i="45" s="1"/>
  <c r="BJ9" i="45"/>
  <c r="AR9" i="45"/>
  <c r="AQ9" i="45"/>
  <c r="AK9" i="45"/>
  <c r="AJ9" i="45"/>
  <c r="AI9" i="45"/>
  <c r="K9" i="45"/>
  <c r="J9" i="45"/>
  <c r="I9" i="45"/>
  <c r="BU8" i="45"/>
  <c r="BV8" i="45" s="1"/>
  <c r="BR8" i="45"/>
  <c r="BS8" i="45" s="1"/>
  <c r="BF8" i="45"/>
  <c r="BH8" i="45" s="1"/>
  <c r="AO8" i="45"/>
  <c r="AK8" i="45"/>
  <c r="AJ8" i="45"/>
  <c r="AI8" i="45"/>
  <c r="L8" i="45"/>
  <c r="J8" i="45"/>
  <c r="I8" i="45"/>
  <c r="BU7" i="45"/>
  <c r="BV7" i="45" s="1"/>
  <c r="BR7" i="45"/>
  <c r="BS7" i="45" s="1"/>
  <c r="BJ7" i="45"/>
  <c r="BE7" i="45"/>
  <c r="BH7" i="45" s="1"/>
  <c r="AL7" i="45"/>
  <c r="AK7" i="45"/>
  <c r="AJ7" i="45"/>
  <c r="AI7" i="45"/>
  <c r="L7" i="45"/>
  <c r="J7" i="45"/>
  <c r="I7" i="45"/>
  <c r="BU6" i="45"/>
  <c r="BV6" i="45" s="1"/>
  <c r="BR6" i="45"/>
  <c r="BS6" i="45" s="1"/>
  <c r="BJ6" i="45"/>
  <c r="BF6" i="45"/>
  <c r="BH6" i="45" s="1"/>
  <c r="AO6" i="45"/>
  <c r="AK6" i="45"/>
  <c r="AJ6" i="45"/>
  <c r="AI6" i="45"/>
  <c r="L6" i="45"/>
  <c r="K6" i="45"/>
  <c r="J6" i="45"/>
  <c r="I6" i="45"/>
  <c r="BZ5" i="45"/>
  <c r="BZ16" i="45" s="1"/>
  <c r="BU5" i="45"/>
  <c r="BR5" i="45"/>
  <c r="BS5" i="45" s="1"/>
  <c r="BL5" i="45"/>
  <c r="BL16" i="45" s="1"/>
  <c r="BK5" i="45"/>
  <c r="BK16" i="45" s="1"/>
  <c r="AV5" i="45"/>
  <c r="AV16" i="45" s="1"/>
  <c r="G195" i="42" s="1"/>
  <c r="AU5" i="45"/>
  <c r="AU16" i="45" s="1"/>
  <c r="AN5" i="45"/>
  <c r="AN16" i="45" s="1"/>
  <c r="AM5" i="45"/>
  <c r="AM16" i="45" s="1"/>
  <c r="G414" i="42" s="1"/>
  <c r="AK5" i="45"/>
  <c r="AJ5" i="45"/>
  <c r="AI5" i="45"/>
  <c r="AC5" i="45"/>
  <c r="AC16" i="45" s="1"/>
  <c r="AB5" i="45"/>
  <c r="AB16" i="45" s="1"/>
  <c r="G116" i="42" s="1"/>
  <c r="I116" i="42" s="1"/>
  <c r="T5" i="45"/>
  <c r="T16" i="45" s="1"/>
  <c r="G49" i="42" s="1"/>
  <c r="I49" i="42" s="1"/>
  <c r="L5" i="45"/>
  <c r="K5" i="45"/>
  <c r="J5" i="45"/>
  <c r="I5" i="45"/>
  <c r="G258" i="42" l="1"/>
  <c r="I258" i="42" s="1"/>
  <c r="G419" i="42"/>
  <c r="I419" i="42" s="1"/>
  <c r="I418" i="42"/>
  <c r="G427" i="42"/>
  <c r="I427" i="42" s="1"/>
  <c r="G426" i="42"/>
  <c r="I426" i="42" s="1"/>
  <c r="BW34" i="45"/>
  <c r="G415" i="42"/>
  <c r="I415" i="42" s="1"/>
  <c r="I414" i="42"/>
  <c r="G162" i="42"/>
  <c r="G165" i="42"/>
  <c r="AJ16" i="45"/>
  <c r="G191" i="42" s="1"/>
  <c r="BU16" i="45"/>
  <c r="G247" i="42" s="1"/>
  <c r="I247" i="42" s="1"/>
  <c r="BV5" i="45"/>
  <c r="BV16" i="45" s="1"/>
  <c r="BH16" i="45"/>
  <c r="G171" i="42" s="1"/>
  <c r="I171" i="42" s="1"/>
  <c r="AZ16" i="45"/>
  <c r="BU34" i="45"/>
  <c r="S34" i="45" s="1"/>
  <c r="S16" i="45" s="1"/>
  <c r="G25" i="42" s="1"/>
  <c r="I25" i="42" s="1"/>
  <c r="R34" i="45"/>
  <c r="R16" i="45" s="1"/>
  <c r="G22" i="42" s="1"/>
  <c r="I22" i="42" s="1"/>
  <c r="BW16" i="45"/>
  <c r="G215" i="42" s="1"/>
  <c r="K16" i="45"/>
  <c r="G37" i="42" s="1"/>
  <c r="I37" i="42" s="1"/>
  <c r="AO16" i="45"/>
  <c r="G422" i="42" s="1"/>
  <c r="AQ16" i="45"/>
  <c r="AL16" i="45"/>
  <c r="BF16" i="45"/>
  <c r="AR16" i="45"/>
  <c r="AI31" i="45"/>
  <c r="G181" i="43" s="1"/>
  <c r="I181" i="43" s="1"/>
  <c r="BJ16" i="45"/>
  <c r="G486" i="42" s="1"/>
  <c r="L16" i="45"/>
  <c r="G34" i="42" s="1"/>
  <c r="I34" i="42" s="1"/>
  <c r="AK16" i="45"/>
  <c r="G153" i="42" s="1"/>
  <c r="AY11" i="45"/>
  <c r="AY16" i="45" s="1"/>
  <c r="G144" i="42" s="1"/>
  <c r="I144" i="42" s="1"/>
  <c r="I16" i="45"/>
  <c r="G31" i="42" s="1"/>
  <c r="I31" i="42" s="1"/>
  <c r="AI16" i="45"/>
  <c r="J16" i="45"/>
  <c r="N16" i="45"/>
  <c r="G40" i="42" s="1"/>
  <c r="I40" i="42" s="1"/>
  <c r="BE16" i="45"/>
  <c r="BS16" i="45"/>
  <c r="G201" i="42" s="1"/>
  <c r="I201" i="42" s="1"/>
  <c r="AX16" i="45"/>
  <c r="G141" i="42" s="1"/>
  <c r="BR16" i="45"/>
  <c r="G267" i="42" l="1"/>
  <c r="I267" i="42" s="1"/>
  <c r="G159" i="42"/>
  <c r="I159" i="42" s="1"/>
  <c r="G150" i="42"/>
  <c r="G156" i="42" s="1"/>
  <c r="I156" i="42" s="1"/>
  <c r="G187" i="43"/>
  <c r="I187" i="43" s="1"/>
  <c r="G233" i="43"/>
  <c r="I233" i="43" s="1"/>
  <c r="G184" i="43"/>
  <c r="I184" i="43" s="1"/>
  <c r="G29" i="43"/>
  <c r="I29" i="43" s="1"/>
  <c r="I87" i="43" s="1"/>
  <c r="I524" i="43" s="1"/>
  <c r="G437" i="42"/>
  <c r="I437" i="42" s="1"/>
  <c r="G436" i="42"/>
  <c r="I436" i="42" s="1"/>
  <c r="G451" i="42"/>
  <c r="I451" i="42" s="1"/>
  <c r="G452" i="42"/>
  <c r="I452" i="42" s="1"/>
  <c r="G255" i="42"/>
  <c r="I255" i="42" s="1"/>
  <c r="G447" i="42"/>
  <c r="I446" i="42"/>
  <c r="I456" i="42"/>
  <c r="G457" i="42"/>
  <c r="I457" i="42" s="1"/>
  <c r="G432" i="42"/>
  <c r="I432" i="42" s="1"/>
  <c r="G431" i="42"/>
  <c r="I431" i="42" s="1"/>
  <c r="G423" i="42"/>
  <c r="I423" i="42" s="1"/>
  <c r="I422" i="42"/>
  <c r="G205" i="42"/>
  <c r="I205" i="42" s="1"/>
  <c r="A254" i="42"/>
  <c r="A255" i="42"/>
  <c r="A258" i="42"/>
  <c r="A259" i="42"/>
  <c r="G217" i="43" l="1"/>
  <c r="I217" i="43" s="1"/>
  <c r="I239" i="43" s="1"/>
  <c r="I528" i="43" s="1"/>
  <c r="G193" i="43"/>
  <c r="I193" i="43" s="1"/>
  <c r="I210" i="43" s="1"/>
  <c r="I527" i="43" s="1"/>
  <c r="I541" i="43" s="1"/>
  <c r="F8" i="53" s="1"/>
  <c r="I150" i="42"/>
  <c r="G487" i="42"/>
  <c r="I264" i="42"/>
  <c r="A375" i="42"/>
  <c r="A377" i="42"/>
  <c r="A378" i="42"/>
  <c r="I299" i="42"/>
  <c r="I300" i="42"/>
  <c r="I301" i="42"/>
  <c r="I302" i="42"/>
  <c r="I303" i="42"/>
  <c r="I304" i="42"/>
  <c r="I305" i="42"/>
  <c r="I306" i="42"/>
  <c r="I307" i="42"/>
  <c r="I308" i="42"/>
  <c r="I309" i="42"/>
  <c r="I310" i="42"/>
  <c r="I311" i="42"/>
  <c r="I312" i="42"/>
  <c r="I313" i="42"/>
  <c r="I314" i="42"/>
  <c r="I315" i="42"/>
  <c r="I316" i="42"/>
  <c r="I317" i="42"/>
  <c r="I318" i="42"/>
  <c r="I319" i="42"/>
  <c r="I320" i="42"/>
  <c r="I321" i="42"/>
  <c r="I322" i="42"/>
  <c r="I323" i="42"/>
  <c r="I324" i="42"/>
  <c r="I325" i="42"/>
  <c r="I326" i="42"/>
  <c r="I327" i="42"/>
  <c r="I328" i="42"/>
  <c r="I329" i="42"/>
  <c r="I330" i="42"/>
  <c r="I331" i="42"/>
  <c r="I332" i="42"/>
  <c r="I333" i="42"/>
  <c r="I334" i="42"/>
  <c r="I335" i="42"/>
  <c r="I342" i="42"/>
  <c r="I344" i="42"/>
  <c r="I346" i="42"/>
  <c r="I347" i="42"/>
  <c r="I348" i="42"/>
  <c r="I349" i="42"/>
  <c r="I350" i="42"/>
  <c r="I351" i="42"/>
  <c r="I358" i="42"/>
  <c r="I359" i="42"/>
  <c r="I2" i="42" l="1"/>
  <c r="I3" i="42"/>
  <c r="H3" i="42"/>
  <c r="H2" i="42"/>
  <c r="H1" i="42"/>
  <c r="D1" i="42"/>
  <c r="D2" i="42"/>
  <c r="D3" i="42"/>
  <c r="A456" i="42" l="1"/>
  <c r="A453" i="42"/>
  <c r="A450" i="42"/>
  <c r="A449" i="42"/>
  <c r="A513" i="42"/>
  <c r="A514" i="42"/>
  <c r="A515" i="42"/>
  <c r="A516" i="42"/>
  <c r="A517" i="42"/>
  <c r="A518" i="42"/>
  <c r="A519" i="42"/>
  <c r="A521" i="42"/>
  <c r="A522" i="42"/>
  <c r="A281" i="42"/>
  <c r="A261" i="42"/>
  <c r="A207" i="42" l="1"/>
  <c r="A196" i="42"/>
  <c r="B166" i="42" l="1"/>
  <c r="A166" i="42"/>
  <c r="K126" i="42" l="1"/>
  <c r="K127" i="42"/>
  <c r="A237" i="42"/>
  <c r="A238" i="42"/>
  <c r="A239" i="42"/>
  <c r="D249" i="42"/>
  <c r="D515" i="42" s="1"/>
  <c r="C249" i="42"/>
  <c r="C515" i="42" s="1"/>
  <c r="A252" i="42"/>
  <c r="A260" i="42"/>
  <c r="I261" i="42"/>
  <c r="I281" i="42" s="1"/>
  <c r="B132" i="42"/>
  <c r="A132" i="42"/>
  <c r="B131" i="42"/>
  <c r="A131" i="42"/>
  <c r="I249" i="42" l="1"/>
  <c r="I515" i="42" s="1"/>
  <c r="I224" i="42" l="1"/>
  <c r="A488" i="42"/>
  <c r="I516" i="42"/>
  <c r="I165" i="42"/>
  <c r="A505" i="42"/>
  <c r="A504" i="42"/>
  <c r="A503" i="42"/>
  <c r="A502" i="42"/>
  <c r="A501" i="42"/>
  <c r="A500" i="42"/>
  <c r="A499" i="42"/>
  <c r="A498" i="42"/>
  <c r="A495" i="42"/>
  <c r="A494" i="42"/>
  <c r="A487" i="42"/>
  <c r="A486" i="42"/>
  <c r="A485" i="42"/>
  <c r="A484" i="42"/>
  <c r="A483" i="42"/>
  <c r="A482" i="42"/>
  <c r="A481" i="42"/>
  <c r="A480" i="42"/>
  <c r="A463" i="42"/>
  <c r="A462" i="42"/>
  <c r="A461" i="42"/>
  <c r="A460" i="42"/>
  <c r="A459" i="42"/>
  <c r="A448" i="42"/>
  <c r="A447" i="42"/>
  <c r="A445" i="42"/>
  <c r="A444" i="42"/>
  <c r="A433" i="42"/>
  <c r="A430" i="42"/>
  <c r="A429" i="42"/>
  <c r="A412" i="42"/>
  <c r="A411" i="42"/>
  <c r="A409" i="42"/>
  <c r="A410" i="42"/>
  <c r="A408" i="42"/>
  <c r="A407" i="42"/>
  <c r="A396" i="42"/>
  <c r="A395" i="42"/>
  <c r="A393" i="42"/>
  <c r="A394" i="42"/>
  <c r="A392" i="42"/>
  <c r="A374" i="42"/>
  <c r="A373" i="42"/>
  <c r="A372" i="42"/>
  <c r="A368" i="42"/>
  <c r="A364" i="42"/>
  <c r="A363" i="42"/>
  <c r="A285" i="42"/>
  <c r="A284" i="42"/>
  <c r="A236" i="42"/>
  <c r="A234" i="42"/>
  <c r="A233" i="42"/>
  <c r="A224" i="42"/>
  <c r="A223" i="42"/>
  <c r="A222" i="42"/>
  <c r="A221" i="42"/>
  <c r="A220" i="42"/>
  <c r="A216" i="42"/>
  <c r="A215" i="42"/>
  <c r="A214" i="42"/>
  <c r="A213" i="42"/>
  <c r="A212" i="42"/>
  <c r="A211" i="42"/>
  <c r="A210" i="42"/>
  <c r="A208" i="42"/>
  <c r="A209" i="42"/>
  <c r="A195" i="42"/>
  <c r="A194" i="42"/>
  <c r="A193" i="42"/>
  <c r="A192" i="42"/>
  <c r="A191" i="42"/>
  <c r="A190" i="42"/>
  <c r="A189" i="42"/>
  <c r="A188" i="42"/>
  <c r="A187" i="42"/>
  <c r="B184" i="42"/>
  <c r="A184" i="42"/>
  <c r="B181" i="42"/>
  <c r="A181" i="42"/>
  <c r="B180" i="42"/>
  <c r="A180" i="42"/>
  <c r="B179" i="42"/>
  <c r="A179" i="42"/>
  <c r="B178" i="42"/>
  <c r="A178" i="42"/>
  <c r="B169" i="42"/>
  <c r="A169" i="42"/>
  <c r="B168" i="42"/>
  <c r="A168" i="42"/>
  <c r="B167" i="42"/>
  <c r="A167" i="42"/>
  <c r="B164" i="42"/>
  <c r="A164" i="42"/>
  <c r="B163" i="42"/>
  <c r="A163" i="42"/>
  <c r="B162" i="42"/>
  <c r="A162" i="42"/>
  <c r="B161" i="42"/>
  <c r="A161" i="42"/>
  <c r="B158" i="42"/>
  <c r="A158" i="42"/>
  <c r="B153" i="42"/>
  <c r="A153" i="42"/>
  <c r="B152" i="42"/>
  <c r="A152" i="42"/>
  <c r="B151" i="42"/>
  <c r="A151" i="42"/>
  <c r="B150" i="42"/>
  <c r="A150" i="42"/>
  <c r="B149" i="42"/>
  <c r="A149" i="42"/>
  <c r="B148" i="42"/>
  <c r="A148" i="42"/>
  <c r="B147" i="42"/>
  <c r="A147" i="42"/>
  <c r="B146" i="42"/>
  <c r="A146" i="42"/>
  <c r="B142" i="42"/>
  <c r="A142" i="42"/>
  <c r="B141" i="42"/>
  <c r="A141" i="42"/>
  <c r="B140" i="42"/>
  <c r="A140" i="42"/>
  <c r="B139" i="42"/>
  <c r="A139" i="42"/>
  <c r="B138" i="42"/>
  <c r="A138" i="42"/>
  <c r="B129" i="42"/>
  <c r="A129" i="42"/>
  <c r="B128" i="42"/>
  <c r="A128" i="42"/>
  <c r="B127" i="42"/>
  <c r="A127" i="42"/>
  <c r="B126" i="42"/>
  <c r="A126" i="42"/>
  <c r="B121" i="42"/>
  <c r="A121" i="42"/>
  <c r="B117" i="42"/>
  <c r="A117" i="42"/>
  <c r="B116" i="42"/>
  <c r="A116" i="42"/>
  <c r="B115" i="42"/>
  <c r="A115" i="42"/>
  <c r="B114" i="42"/>
  <c r="A114" i="42"/>
  <c r="B113" i="42"/>
  <c r="A113" i="42"/>
  <c r="B112" i="42"/>
  <c r="A112" i="42"/>
  <c r="B111" i="42"/>
  <c r="A111" i="42"/>
  <c r="B107" i="42"/>
  <c r="A107" i="42"/>
  <c r="B106" i="42"/>
  <c r="A106" i="42"/>
  <c r="B105" i="42"/>
  <c r="A105" i="42"/>
  <c r="B104" i="42"/>
  <c r="A104" i="42"/>
  <c r="B103" i="42"/>
  <c r="A103" i="42"/>
  <c r="B102" i="42"/>
  <c r="A102" i="42"/>
  <c r="B21" i="42"/>
  <c r="A21" i="42"/>
  <c r="B20" i="42"/>
  <c r="A20" i="42"/>
  <c r="B19" i="42"/>
  <c r="A19" i="42"/>
  <c r="I373" i="42" l="1"/>
  <c r="I392" i="42" s="1"/>
  <c r="I147" i="42" l="1"/>
  <c r="K129" i="42" l="1"/>
  <c r="G130" i="42"/>
  <c r="I130" i="42" s="1"/>
  <c r="I460" i="42" l="1"/>
  <c r="I500" i="42" l="1"/>
  <c r="I141" i="42" l="1"/>
  <c r="D107" i="42"/>
  <c r="D121" i="42"/>
  <c r="D132" i="42"/>
  <c r="D207" i="42"/>
  <c r="D234" i="42"/>
  <c r="D392" i="42"/>
  <c r="D408" i="42"/>
  <c r="D518" i="42" s="1"/>
  <c r="D462" i="42"/>
  <c r="D494" i="42"/>
  <c r="D521" i="42" s="1"/>
  <c r="D505" i="42"/>
  <c r="D522" i="42" s="1"/>
  <c r="D509" i="42"/>
  <c r="D510" i="42"/>
  <c r="D511" i="42"/>
  <c r="D512" i="42"/>
  <c r="D513" i="42"/>
  <c r="D514" i="42"/>
  <c r="D517" i="42"/>
  <c r="D519" i="42"/>
  <c r="D524" i="42"/>
  <c r="B6" i="53" s="1"/>
  <c r="I503" i="42" l="1"/>
  <c r="C494" i="42"/>
  <c r="C521" i="42" s="1"/>
  <c r="I487" i="42"/>
  <c r="I486" i="42"/>
  <c r="C519" i="42"/>
  <c r="C462" i="42"/>
  <c r="I447" i="42"/>
  <c r="C408" i="42"/>
  <c r="C518" i="42" s="1"/>
  <c r="C517" i="42"/>
  <c r="C392" i="42"/>
  <c r="C505" i="42"/>
  <c r="C514" i="42"/>
  <c r="C513" i="42"/>
  <c r="C234" i="42"/>
  <c r="I221" i="42"/>
  <c r="I215" i="42"/>
  <c r="C207" i="42"/>
  <c r="I195" i="42"/>
  <c r="I191" i="42"/>
  <c r="I162" i="42"/>
  <c r="I153" i="42"/>
  <c r="I181" i="42"/>
  <c r="I180" i="42"/>
  <c r="I178" i="42"/>
  <c r="I168" i="42"/>
  <c r="I138" i="42"/>
  <c r="I129" i="42"/>
  <c r="I128" i="42"/>
  <c r="I105" i="42"/>
  <c r="I104" i="42"/>
  <c r="I102" i="42"/>
  <c r="I494" i="42" l="1"/>
  <c r="I521" i="42" s="1"/>
  <c r="I207" i="42"/>
  <c r="I513" i="42" s="1"/>
  <c r="I132" i="42"/>
  <c r="I517" i="42"/>
  <c r="I462" i="42"/>
  <c r="I519" i="42" s="1"/>
  <c r="I408" i="42"/>
  <c r="I518" i="42" s="1"/>
  <c r="I234" i="42"/>
  <c r="I514" i="42" s="1"/>
  <c r="I121" i="42"/>
  <c r="I1" i="42"/>
  <c r="I107" i="42" l="1"/>
  <c r="C522" i="42" l="1"/>
  <c r="A497" i="42"/>
  <c r="A496" i="42"/>
  <c r="I505" i="42" l="1"/>
  <c r="I522" i="42" s="1"/>
  <c r="B135" i="42" l="1"/>
  <c r="A134" i="42" l="1"/>
  <c r="A133" i="42"/>
  <c r="A135" i="42" l="1"/>
  <c r="A136" i="42"/>
  <c r="B136" i="42"/>
  <c r="A137" i="42"/>
  <c r="B137" i="42"/>
  <c r="A525" i="42" l="1"/>
  <c r="C524" i="42"/>
  <c r="A524" i="42"/>
  <c r="A523" i="42"/>
  <c r="C512" i="42"/>
  <c r="A512" i="42"/>
  <c r="C511" i="42"/>
  <c r="A511" i="42"/>
  <c r="C510" i="42"/>
  <c r="A510" i="42"/>
  <c r="C509" i="42"/>
  <c r="A509" i="42"/>
  <c r="A508" i="42"/>
  <c r="A507" i="42"/>
  <c r="A506" i="42"/>
  <c r="A185" i="42"/>
  <c r="C184" i="42"/>
  <c r="C132" i="42"/>
  <c r="B125" i="42"/>
  <c r="A125" i="42"/>
  <c r="B124" i="42"/>
  <c r="A124" i="42"/>
  <c r="A123" i="42"/>
  <c r="A122" i="42"/>
  <c r="C121" i="42"/>
  <c r="B110" i="42"/>
  <c r="A110" i="42"/>
  <c r="A109" i="42"/>
  <c r="A108" i="42"/>
  <c r="C107" i="42"/>
  <c r="B18" i="42"/>
  <c r="A18" i="42"/>
  <c r="B17" i="42"/>
  <c r="A17" i="42"/>
  <c r="B16" i="42"/>
  <c r="A16" i="42"/>
  <c r="B15" i="42"/>
  <c r="A15" i="42"/>
  <c r="B14" i="42"/>
  <c r="A14" i="42"/>
  <c r="B13" i="42"/>
  <c r="A13" i="42"/>
  <c r="I511" i="42" l="1"/>
  <c r="I509" i="42"/>
  <c r="I184" i="42"/>
  <c r="I512" i="42" s="1"/>
  <c r="I510" i="42"/>
  <c r="I524" i="42" l="1"/>
  <c r="F6" i="53" s="1"/>
  <c r="F18" i="53" s="1"/>
  <c r="F20" i="53" s="1"/>
  <c r="F22" i="53" s="1"/>
</calcChain>
</file>

<file path=xl/sharedStrings.xml><?xml version="1.0" encoding="utf-8"?>
<sst xmlns="http://schemas.openxmlformats.org/spreadsheetml/2006/main" count="3412" uniqueCount="1843">
  <si>
    <t>m3</t>
  </si>
  <si>
    <t>PROJEKTANT TROŠKOVNIKA ELEKTRIČNIH INSTALACIJA</t>
  </si>
  <si>
    <t>UKUPNO</t>
  </si>
  <si>
    <t>DEMONTAŽE, RUŠENJA I PRIPREMNI RADOVI</t>
  </si>
  <si>
    <t>paušal</t>
  </si>
  <si>
    <t>A</t>
  </si>
  <si>
    <t>PROJEKTANT TROŠKOVNIKA GRAĐEVINSKO-OBRTNIČKIH RADOVA</t>
  </si>
  <si>
    <t>PROJEKTANT TROŠKOVNIKA VODE I KANALIZACIJE</t>
  </si>
  <si>
    <t>m1</t>
  </si>
  <si>
    <t>Opis stavke</t>
  </si>
  <si>
    <t>Količina</t>
  </si>
  <si>
    <t>kom</t>
  </si>
  <si>
    <t>m2</t>
  </si>
  <si>
    <t>Rbr.</t>
  </si>
  <si>
    <t>REKAPITULACIJA</t>
  </si>
  <si>
    <t>Jed. mjera</t>
  </si>
  <si>
    <t>Jed. cijena</t>
  </si>
  <si>
    <t>Ukupno cijena</t>
  </si>
  <si>
    <t>ZEMLJANI RADOVI</t>
  </si>
  <si>
    <t>BETONSKI I ARMIRANOBETONSKI RADOVI</t>
  </si>
  <si>
    <t>OSTALO</t>
  </si>
  <si>
    <t>komplet</t>
  </si>
  <si>
    <t>Prije davanja ponude ponuđač mora pregledati projekt te mjesto izgradnje i upisati radove koji eventualno nisu obuhvaćeni ovim troškovnikom. Sve stavke iz ovog područja trebaju sadržavati kompletn sastav za upotrebu. Obavezno uračunati vraćanje u prvobitno stanje svih elemenata na kojima su izvršeni bilo kakvi radovi na koje su utjecali radovi na izvođenju kanalizacije i voovoda. Radove treba izvesti prema opisu troškovnika, a u stavkama gdje nije objašnjen način rada i posebne osobine finalnog produkta, izvođač je dužan pridržavati se uobičajenog načina rada, uvažavajući odredbe važećih standarda te uputa proizvođača opreme koja se ugrađuje uz obvezu izvedbe kvalitetnog proizvoda. Osim toga, izvođač je obvezan pridržavati se uputa nadzora i investitora u svim pitanjima koja se odnose na izbor i obradu materijala i način izvedbe pojedinih detalja, ukoliko to nije već detaljno opisano troškovnikom, a naročito u slučajevima kada se zahtjeva izvedba van propisanih standarda. Sav materijal za izgradnju mora biti kvalitetan i mora odgovarati  postojećim građevinskim propisima. U slučaju da opis pojedine stavke nije dovoljno jasan, mjerodavna je  uputa i tumačenje nadzora za građevinske i monterske  dijelove predmetne građevine.</t>
  </si>
  <si>
    <t xml:space="preserve">Izrada i kvaliteta prema postojećim propisima HRN, EN, DIN, API, ISO, ATV-DVWK. Cijene pojedinih radova moraju sadržavati sve elemente koji određuju cijenu gotovog proizvoda, a u skladu sa odredbama troškovnika. U slučaju nabave materijala elemenata ugradnje od stranog proizvođača uz svaki dio trebaju biti upute za ugradnju, montažu, spajanje  i korištenje obavezno na hrvatskom jeziku, certifikati za svaki dio opreme i atest za cjelokupnu opremu. Odstranjivanje otpada - vlastiti preostali materijal i materijal od rušenja treba izvođač ukloniti u sklopu ponuđene cijene. Moraju se poštivati odnosni propisi o zbrinjavanju posebnog otpada. Ukopavanje ili spaljivanje na gradilištu je zabranjeno. Zbrinjavanje otpada, mase od rušenja ili građevinskog otpada obuhvaća ponovno iskorištavanje sukladno propisima odnosno potrebnim mjerama skupljanja, transporta, obrade i skladištenja prema propisima i nalozima organa. Po potrebi se može zahtijevati dokaz o urednom zbrinjavanju. </t>
  </si>
  <si>
    <t xml:space="preserve">Izvođač je dužan proučiti izvedbenu dokumentaciju, te prije samog ugovaranja i izvođenja radova upozoriti glavnog projektanta na eventualne nejasnoće ili neusklađenosti prije ugovaranja i izvođenja, odnosno iznijeti svoje primjedbe već u fazi davanja ponude, kako bi se pravovremeno iste mogle otkloniti, naknadni troškovi se neće priznavati. Nerazumijevanje grafičkog dijela projekta i tehničkog opisa neće se prihvatiti kao razlog za povišenje jediničnih cijena ili greške u izvedbi. Izvodač je dužan pridržavati se svih važećih zakona i propisa i to naročito Zakona o građenju, Zakona o zaštiti na radu, Hrvatskih normi itd. Izvodač je prilikom uvođenja u posao dužan, u okviru ugovorene cijene, preuzeti parcelu, te obavijestiti nadležne službe o otvaranju gradilišta. Od tog trenutka pa do primopredaje zgrade izvodač je odgovoran za stvari i osobe koje se nalaze unutar gradilišta. Od ulaska na gradilište izvodač je obavezan voditi građevinski dnevnik u kojem bilježi opis radnih procesa i građevinsku knjigu u kojoj bilježi i dokumentira mjerenja, sve faze izvršenog posla prema stavkama troškovnika i projektu. Izvodač je dužan, u okviru ugovorene cijene, ugraditi propisani adekvatan i prema Hrvatskim normama atestiran materijal. </t>
  </si>
  <si>
    <t xml:space="preserve">Dužnost izvodača je kontrola svih mjera i količina kako u projektu tako i na licu mjesta i radionička razrada svih rješenja predviđenih projektom. Na sve radove izvodač daje garanciju od dana primopredaje radova sukladno garantnom roku iz ugovora o građenju. Za neke radove je propisan garantni rok duži od 2 godine, što bi na odgovarajući način trebalo biti uključeno u ugovor o građenju. Izvodač je u okviru ugovorene cijene dužan izvršiti koordinaciju radova svih kooperanata na način da omogući kontinuirano odvijanje posla i zaštitu već izvedenih radova. Sva oštećenja nastala tokom gradnje otklonit će izvodač o svom trošku. 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Izvodač je dužan čistiti gradilište barem tri puta tokom građenja, a na kraju treba izvesti sva fina čišćenja što se neće posebno opisivati u stavkama. Izvodač će zajedno sa nadzornim organom izraditi vremenski plan (gantogram) aktivnosti na gradilištu i njime odrediti dinamiku financiranja, dobave materijala i opreme i sl. Nakon naplate okončane situacije izvodač će predati izvedene radove Investitoru ili po investitoru određenom korisniku.Naplaćuju se samo stvarno izvedeni radovi i količine prema dokaznici mjera.Zbog nedostatka visinskih kota na nekim dijelovima geodetske snimke neke količine su aproksimirane.
</t>
  </si>
  <si>
    <t>Sastavni dio ovog Troškovnika i Izvedbenog projekta je popis standarda i normativa za primijenjene materijale i opremu.</t>
  </si>
  <si>
    <t>OPĆE NAPOMENE - VODOVOD I KANALIZACIJA</t>
  </si>
  <si>
    <t>OPĆE NAPOMENE - ELEKTROTEHNIČKE INSTALACIJE</t>
  </si>
  <si>
    <t>BR. PROJEKTA</t>
  </si>
  <si>
    <t>ZOP</t>
  </si>
  <si>
    <t>DATUM</t>
  </si>
  <si>
    <t>GRAĐEVINA</t>
  </si>
  <si>
    <t>NARUČITELJ</t>
  </si>
  <si>
    <t>FAZA PROJEKTA</t>
  </si>
  <si>
    <t>GLAVNI PROJEKTANT</t>
  </si>
  <si>
    <t>Moguće je kretanje i upisivanje samo u kolonama G i I!</t>
  </si>
  <si>
    <t>PDV</t>
  </si>
  <si>
    <t>Cijena za svaku točku ovog troškovnika mora obuhvatiti dobavu, montažu, spajanje, po potrebi uzemljenje, te dovođenje u stanje potpune funkcionalnosti</t>
  </si>
  <si>
    <t>Radeći ponudu obavezno pročitati tehnički opis i pregledati nacrte</t>
  </si>
  <si>
    <t>U cijenu također ukalkulirati sav potreban spojni, montažni, pridržni i ostali materijal potreban za potpuno funkcioniranje</t>
  </si>
  <si>
    <t>Za sve eventualne primjedbe u pogledu izvođenja i troškovnika, obratiti se PROJEKTANTU PRIJE DAVANJA PONUDE</t>
  </si>
  <si>
    <t>Izvođač je dužan uskladiti projektnu dokumentaciju sa stvarno izvedenim stanjem, te istu isporučiti investitoru u 3 primjerka i na elektronskom mediju</t>
  </si>
  <si>
    <t>Sječenje kabela izvesti na licu mjesta nakon izmjerene stvarne dužine trase</t>
  </si>
  <si>
    <t>Ponuđač radova mora ponuditi sve stavke iz ovog troškovnika. Ukoliko neke od stavki ne nudi ili predlaže alternativu, to u svojoj ponudi mora posebno naglasiti</t>
  </si>
  <si>
    <t>Oznake razdjelnika izvesti na plastičnoj graviranoj pločici, kao i sve natpise na vratima.</t>
  </si>
  <si>
    <t>kg</t>
  </si>
  <si>
    <t>OPĆE NAPOMENE - GRAĐEVINSKO-OBRTNIČKI RADOVI</t>
  </si>
  <si>
    <t>Troškovnik obuhvaća građevinske i obrtničke radove na uređenju PARCELA ZA KAMPIRANJE. Sav materijal od iskopa deponirati na gradilištu radi ponovne upotrebe. Humus i uklonjeno kamenje također. Dozvoljen odvoz viška materijala po završetku radova. Svu demontiranu opremu i građu predati investitoru. Sve radove uzvesti prema izvedbenom projektu. Sve eventualne nejasnoće izvesti prema dogovoru sa nadzornim inženjerom. Jedinična cijena primjeniti će se na izvedene količine bez obzira u kojem postotku one odstupaju od ugovorenih. Svi troškovi deponije viška materijala uključeni su u jediničnu cijenu. U jediničnu cijenu uključeni su troškovi svih tekućih i kontrolnih ispitivanja kvalitete materijala i izvedenih radova. U jediničnu cijenu uključeni su troškovi osiguranja gradilišta, opreme, materijala, radnika, prolaznika susjednih građevina i okoline od šteta koje počini izvođač izvođenjem radova.</t>
  </si>
  <si>
    <t xml:space="preserve">Izrada projekta izvedenog stanja uz isporuku u dva primjerka u uvezanom obliku i jedan primjerak u digitalnom obliku. Nacrt izvedenog stanja sadrži podatke o kompletno izvedenim radovima kao i instalacijama, uključujući dimenzije i trase cjevovoda, te podatak o lokaciji i identifikaciji instalacija koje su ugrađene.    </t>
  </si>
  <si>
    <t>KAMENARSKI RADOVI</t>
  </si>
  <si>
    <t>Cijena za paušal.</t>
  </si>
  <si>
    <t>Opći uvjeti i napomene</t>
  </si>
  <si>
    <t>1.1.</t>
  </si>
  <si>
    <t>1.2.</t>
  </si>
  <si>
    <t>1.3.</t>
  </si>
  <si>
    <t>m'</t>
  </si>
  <si>
    <t>- NKV radnik</t>
  </si>
  <si>
    <t>h</t>
  </si>
  <si>
    <t>- VK radnik</t>
  </si>
  <si>
    <t xml:space="preserve">Nepredvidljivi radovi, koji se ne mogu drugačije normirati – pomoć kod rušenja i demontaža, zidarske pripomoći kod instalaterskih i obrtničkih radova, razna dubljenja i bušenja, nepredviđeni radovi, popravci oštećenja, krpanja žbuke i sl. Materijal se obračunava prema stvarno utrošenim količinama prema cjeniku, odnosno prema pogođenim jediničnim cijenama. Obračun prema upisu u građevinski dnevnik i dogovoru s investitorom i nadzornim inženjerom. </t>
  </si>
  <si>
    <t>Obračun po utrošenom satu.</t>
  </si>
  <si>
    <t>2.1.</t>
  </si>
  <si>
    <t>2.2.</t>
  </si>
  <si>
    <t>Obračun po m3 izvedenog iskopa.</t>
  </si>
  <si>
    <t>a) beton</t>
  </si>
  <si>
    <t>b) oplata</t>
  </si>
  <si>
    <t>ZIDARSKI RADOVI</t>
  </si>
  <si>
    <t>5.1.</t>
  </si>
  <si>
    <t>5.2.</t>
  </si>
  <si>
    <t>Krpanje šliceva poslije izvedbe vodovodnih i el. i strojarskih instalacija.</t>
  </si>
  <si>
    <t>Obračun po m3 zazidanog zida.</t>
  </si>
  <si>
    <t>Obračun po m' šlica.</t>
  </si>
  <si>
    <t>6.1.</t>
  </si>
  <si>
    <t>4.1.</t>
  </si>
  <si>
    <t>4.2.</t>
  </si>
  <si>
    <t>4.5.</t>
  </si>
  <si>
    <t>4.6.</t>
  </si>
  <si>
    <t>4.7.</t>
  </si>
  <si>
    <t>4.11.</t>
  </si>
  <si>
    <t>IZOLATERSKI RADOVI</t>
  </si>
  <si>
    <t>8.1.</t>
  </si>
  <si>
    <t>FASADERSKI RADOVI</t>
  </si>
  <si>
    <t>6.2.</t>
  </si>
  <si>
    <t>6.3.</t>
  </si>
  <si>
    <t>10.1.</t>
  </si>
  <si>
    <t>STOLARSKI RADOVI</t>
  </si>
  <si>
    <t>11.1.</t>
  </si>
  <si>
    <t>13.1.</t>
  </si>
  <si>
    <t>rad - postavljenje zidnih pločica + vezni materijal i fug masa</t>
  </si>
  <si>
    <t>KERAMIČARSKI RADOVI</t>
  </si>
  <si>
    <t>Obračun po m2 izvedene keramike.</t>
  </si>
  <si>
    <t>SOBOSLIKARSKI RADOVI</t>
  </si>
  <si>
    <t>zidovi</t>
  </si>
  <si>
    <t>stropovi</t>
  </si>
  <si>
    <t>Obračun po m2 obojanog zida i stropa.</t>
  </si>
  <si>
    <t>12.1.</t>
  </si>
  <si>
    <t>Generalno čišćenje kompletnog prostora po završetku svih radova kao priprema za useljenje, uključivo sve (čišćenje staklenih površina, prašine itd.). Sav pomoćni materijal za čišćenje obračunat je u ovoj stavci, isto kao i odvoz otpadnog materijala.</t>
  </si>
  <si>
    <t>Obračun po kompletu.</t>
  </si>
  <si>
    <t>Obračun po m2 očišćenog prostora.</t>
  </si>
  <si>
    <t>Cijene upisane u ovaj troškovnik sadrže svu odštetu za pojedine radove i dobave u odnosnim stavkama troškovnika i to u potpuno dogotovljenom stanju, tj. sav rad, naknadu za alat, materijal, sve pripremne, sporedne i završne radove, horizontalne i vertikalne transporte.</t>
  </si>
  <si>
    <t>Pod unesenim cijenama podrazumijevaju se također i sva zakonska davanja, kao i pripomoć kod izvedbe obrtničkih radova (zaštita obrtničkih proizvoda: stolarije, bravarije, limarije, restauratorskih elemenata i slično), sva potrebna ispitivanja građevinskih materijala.</t>
  </si>
  <si>
    <t>Sav materijal koji se upotrebljava mora odgovarati postojećim tehničkim propisima i normama. 
Ukoliko se upotrebljava materijal za koji ne postoji odgovarajući standard, njegovu kvalitetu treba dokazati atestima.</t>
  </si>
  <si>
    <t>Davanjem ponude izvođač se obvezuje da će pravovremeno nabaviti sav materijal opisan u pojedinim stavkama troškovnika. U slučaju nemogućnosti nabave opisanog materijala tijekom izvođenja radova, za svaku će se izmjenu prikupiti ponude i u prisutnosti naručitelja i nadzornog inženjera evaluirati ponude i odabrati zamjenski materijal.</t>
  </si>
  <si>
    <t>Izvođač radova treba uz ponudu priložiti jedinične cijene za materijale i radnu snagu, te "faktor" tvrtke, koji će se odnositi na izgradnju ove građevine.</t>
  </si>
  <si>
    <t>Ukoliko opis pojedine stavke dovodi izvođača u nedoumicu o načinu izvedbe ili kalkulacije cijena, treba pravovremeno tražiti objašnjenje od naručitelja i projektanta.</t>
  </si>
  <si>
    <t>Ako tijekom gradnje dođe do promjena, treba prije početka rada tražiti suglasnost nadzornog inženjera, također treba ugovoriti jediničnu cijenu nove stavke na temelju elemenata datih u ponudi i sve to unijeti u građevinski dnevnik uz ovjeru nadzornog inženjera.</t>
  </si>
  <si>
    <t>Prema tome, ponuđena cijena je konačna cijena za realizaciju pojedine troškovničke stavke i ne može se mijenjati.</t>
  </si>
  <si>
    <t>Prilikom davanja ponude izvođač je obvezan dostaviti detaljni operativni plan izvođenja radova i shemu organizacije gradilišta.</t>
  </si>
  <si>
    <t>Bez obzira na vrstu pogodbe, izvođač je obvezan svakodnevno voditi građevinski dnevnik u dva primjerka, a također i građevinsku knjigu, koje će redovito kontrolirati i ovjeravati nadzorni inženjer, kako bi se uvijek mogle ustanoviti stvarne količine izvedenih radova.</t>
  </si>
  <si>
    <t>Naplaćuju se samo stvarno izvedeni radovi i količine prema dokaznici mjera.</t>
  </si>
  <si>
    <t>Izvodač je dužan čistiti gradilište barem tri puta tokom građenja, a na kraju treba izvesti  finalno čišćenja zidova, podova, vrata, prozora, stijena, stakala i dr. što se neće posebno opisivati u stavkama.</t>
  </si>
  <si>
    <t>Izvođač je dužan proučiti izvedbenu dokumentaciju, te prije samog ugovaranja i izvođenja radova upozoriti glavnog projektanta na eventualne nejasnoće ili neusklađenosti prije ugovaranja i izvođenja, odnosno iznijeti svoje primjedbe već u fazi davanja ponude.</t>
  </si>
  <si>
    <t>Izrada tipskih primjeraka i uzoraka svih ugrađenih materijala ( npr. ograde, pregradne stijene, bravarija, opločenja i sl.), te ovjera istih kod glavnog projektanta u cijeni je stavki i u obvezi je izvođača.</t>
  </si>
  <si>
    <t>Prije izrade ponude izvođač je dužan pregledati gradilište radi ocjene uvjeta za organizaciju izvedbe radova i stanja pojedinih dijelova na kojima se radovi izvode.</t>
  </si>
  <si>
    <t>PRIPREMNI RADOVI - GRAĐEVINSKO-OBRTNIČKI RADOVI</t>
  </si>
  <si>
    <t>Obračunata količina materijala u normalnom stanju, u svaku jediničnu cijenu uključiti odvoz srušenog materijala na gradilišnu i gradsku deponiju, max udaljenu 10 km,  te razvrstavanje materijala prema uvjetima za istovar materijala gradskog deponija.</t>
  </si>
  <si>
    <t>ZEMLJANI RADOVI - GRAĐEVINSKO-OBRTNIČKI RADOVI</t>
  </si>
  <si>
    <t xml:space="preserve">Navedeni opisi i količine bazirani su na dostupnoj dokumentaciji i izvedenim pripremnim radovima. Ukoliko izvoditelj prilikom izvedbe radova na odgovarajućoj poziciji ustanovi da je došlo do značajnijeg odstupanja od navedenih podataka, dužan je o tome obavijestiti nadzornog inženjera. </t>
  </si>
  <si>
    <t>Sve radove treba izvesti točno po projektu, u skladu sa geomehaničkim izvještajem i statičkim proračunom.</t>
  </si>
  <si>
    <t>Ukoliko se prilikom iskopa naiđe na podzemnu vodu, o tome treba obavijestiti investitora. Izvoditelj se mora kod osiguravatelja osigurati od takvog slučaja i isto uračunati u cijenu radova.</t>
  </si>
  <si>
    <t>Ukoliko se prilikom iskopa naiđe na vodove instalacija i sl., radove treba obustaviti i odmah pozvati stručnjaka za odgovarajuću vrstu  instalacija kao i nadzornog inženjera. Samo ovlašteni stručni radnik može ustanoviti stanje nađenog i demontirati ili preseliti instalacije. Pripomoć kod navedenih radova obračunati će se posebno, a otežanja zbog pažnje pri radovima treba uračunati u jedničnu cijenu.</t>
  </si>
  <si>
    <t>Pri izvedbi temeljena, nakon izvedbe iskopa, nadležni geomehaničar treba izvršiti pregled iskopa i tla te dati odgovarajuće očitovanje. Zabranjuje se bilo kakav rad na izvedbi temelja ako geomehaničar ne izvrši pregled.</t>
  </si>
  <si>
    <t>Kod zatrpavanja pojedinih iskopa, materijal treba polijevati zbog boljeg zbijanja. Nasip izvoditi u slojevima od po 30 cm, s nabijanjem i vlaženjem vodom, do potrebne zbijenosti po statičkom proračunu.</t>
  </si>
  <si>
    <t>Kod materijala koji će se ponovno uporabiti (npr. za zatrpavanje oko temelja), isti treba prevesti na gradilišnu deponiju, uskladištiti te poslije uporabiti. Sve prijenose do i sa gradilišta deponije treba uključiti u jediničnu cijenu iskopa.</t>
  </si>
  <si>
    <t>Jedinična cijena pojedine stavke mora sadržavati još i:</t>
  </si>
  <si>
    <t>- sav rad na iskopu;</t>
  </si>
  <si>
    <t>- sva nalaganja temelja i nanosne skele;</t>
  </si>
  <si>
    <t>- razupiranje (ako je potrebno);</t>
  </si>
  <si>
    <t>- sva potrebna planiranja (ako nema posebne stavke);</t>
  </si>
  <si>
    <t>- sve vertikalne i horizontalne transporte i prijenose;</t>
  </si>
  <si>
    <t>- sva deponiranja i prebacivanja materijala;</t>
  </si>
  <si>
    <t>- održavanje deponija;</t>
  </si>
  <si>
    <t>- sva moguća otežanja rada;</t>
  </si>
  <si>
    <t>- održavanje čistoće na vanjskim putevima kroz koje prolazi transport sa i na gradilište;</t>
  </si>
  <si>
    <t>- sva osiguranja gradilišta i građevine;</t>
  </si>
  <si>
    <t>- sve mjere zaštite na radu.</t>
  </si>
  <si>
    <t>U cijenama svih stavki radova treba uračunati i odgovarajuće koeficijente zbijenosti ili rastresitosti, jer isti nisu uključeni u količine.</t>
  </si>
  <si>
    <t>Ovaj troškovnik ne uključuje zemljane radove vezane uz:</t>
  </si>
  <si>
    <t>- razne instalacije;</t>
  </si>
  <si>
    <t>- uređenje okoliša.</t>
  </si>
  <si>
    <t>Ogradu gradilišta, nanosnu skelu i regulaciju ulaza i izlaza vozila na gradilište sa svim potrebnim oznakama postavlja izvođač radova i nije posebno specificirana.</t>
  </si>
  <si>
    <t>Troškovnikom predviđenu kategoriju tla treba provjeriti te ukoliko ne odgovara, ustanoviti ispravnu u prisutnosti rukovoditelja gradilišta i nadzornog inženjera i konstatirati upisom u građevinski dnevnik.</t>
  </si>
  <si>
    <t>- sve skele i prometne površine, ograde, zaštite prolaza i građevinskih jama u svezi pravila zaštite na radu;</t>
  </si>
  <si>
    <t>Privremena priručna deponija gradilišta na udaljenosti cca 200 m - ukoliko u samoj stavci nije drukčije naznačeno, jer cijela parcela zauzeta gradnjom i materijal od iskopa se direktno odvozi na gradsku deponiju.</t>
  </si>
  <si>
    <t>BETON I ARMIRANOBETONSKI RADOVI - GRAĐEVINSKO-OBRTNIČKI RADOVI</t>
  </si>
  <si>
    <t>Sve vidljive plohe betona treba izvesti u oplati po opisu iz ovih općih uvjeta kao i opisa iz stavki troškovnika, uključivo izradu, postavu i skidanje te podupiranje oplate.</t>
  </si>
  <si>
    <t xml:space="preserve">Za izradu betona iste konstrukcije uporabiti cement i agregat iste vrste, tako da se dobije jednolična boja ploha. Kod ugradbe paziti da ne dođe do stvaranja gnijezda i segregacije. Pri nastavku betoniranja po visini, zaštititi površinu betona od procjeđenog cementnog mlijeka. </t>
  </si>
  <si>
    <t>Ako je potrebno, izvoditelj je dužan za pojedine vidljive ab konstrukcije izraditi uzorke konstrukcije manje veličine, u raznim nijansama boje, između kojih će projektant odabrati traženu boju-nijansu. Boju treba postići raznim cementom i dodacima betonu, koji ne smiju umanjiti nosivost konstrukcije ili djelovati korozivno na armaturu, niti izbijati na vidljivu površinu betona. Isto treba uračunati u jediničnu cijenu.</t>
  </si>
  <si>
    <t>Za premazivanje oplate prije betoniranja ne smiju se rabiti takovi premazi koji se ne bi mogli obrisati sa gotove betonske površine ili bi nakon pranja ostale mrlje na istima. Oplata ploha beton koji se ne žbukaju, ne smije se vezati kroz beton limom ili žicom.</t>
  </si>
  <si>
    <t xml:space="preserve">Sve radove treba izvesti glede "Pravilnika o tehničkim normativima za beton i armirani beton" , kao i "Pravilnika o tehničkim normativima za beton i armirani beton spravljen s prirodnom i lakoagregatnom ispunom"  te uskladiti sa svim trenutno važećim pravilnicima, normativima i zakonima, uključivo dijelove koji se odnose na materijale, armaturu, pravila armiranja te izvedbu radova. </t>
  </si>
  <si>
    <t>Prilikom projektiranja, izvođenja i održavanja konstrukcija i elemenata od betona i ab nužno je pridržavati se gore navedenih pravilnika kao i svih HRN-i, koji su navedeni u sklopu pravilnika.</t>
  </si>
  <si>
    <t>Kvaliteta građe za oplatu mora odgovarati HRN D.C1.041 za rezanu građu, HRN D.C5.025 za glatke ploče i HRN U.C9.400 za skele i oplate. Oplati u toku izvedbe treba dati potrebno nadvišenje zbog progibanja konstrukcije. Iznos i raspored nadvišenja treba izvesti po uputama iz statičkog proračuna.</t>
  </si>
  <si>
    <t>U sve betonske i ab elemente treba (ukoliko je potrebno) prije i u toku betoniranja ugraditi potrebne čelične pločice, ankere i drvene kladice za ugradbu bravarije i sl.</t>
  </si>
  <si>
    <t>Sve eventualne razlike u izvedbi treba ustanoviti upisom u građevinski dnevnik od strane nadzornog inženjera.</t>
  </si>
  <si>
    <t>Jedinična cijena pojedine stavke mora sadržavati i:</t>
  </si>
  <si>
    <t xml:space="preserve"> - sve vertikalne i horizontalne transporte;</t>
  </si>
  <si>
    <t xml:space="preserve"> - sav rad, osnovni i pomoćni;</t>
  </si>
  <si>
    <t xml:space="preserve"> - sva potrebna podupiranja oplate, učvršćivanja, radne skele, mostove i prilaze;</t>
  </si>
  <si>
    <t xml:space="preserve"> - sva ubacivanja i prebacivanja betona, nabijanja, vibriranja i pervibriranja;</t>
  </si>
  <si>
    <t xml:space="preserve"> - mazanja oplate odgovarajućim premazima, vlaženja oplate;</t>
  </si>
  <si>
    <t xml:space="preserve"> - zaštitu betonskih i ab konstrukcija od djelovanja atmosferilija, vrućine, hladnoće i sl., njega betona</t>
  </si>
  <si>
    <t>Pogoni i uređaji za proizvodnju betona moraju zadovoljiti odredbe HRN U.M1.050.</t>
  </si>
  <si>
    <t>Prije betoniranja, oplatu i armaturu treba obavezno pregledati nadzorni inženjer (statičar) i upisom u građevinski dnevnik odobriti betoniranje. Zabranjuje se betoniranje koje nadzorni inženjer nije odobrio.</t>
  </si>
  <si>
    <t xml:space="preserve">Prilikom ugradbe kod nepovoljnih uvjeta (kiša) treba spriječiti segregaciju betona i ispiranje cementa iz smjese, naročito kod prekida betoniranja, odgovarajućim zaštitnim mjerama (pokrivanje i sl.) i isto uračunati u jediničnu cijenu. </t>
  </si>
  <si>
    <t>Svježem betonu ne smije se naknadno dodavati voda.</t>
  </si>
  <si>
    <t>Beton treba ugrađivati isključivo strojno, a ručna ugradba dozvoljena je samo za male količine betona u konstrukcijama malog i složenog presjeka.</t>
  </si>
  <si>
    <t>Pri nastavku betoniranja stupova i zidova treba prvo na očišćenu podlogu nanijeti sloj vezivnog materijala (npr. SN veza ili sl.) a zatim betonirati sloj mikrobetona jače marke od predviđene za samu konstrukciju, i to na cca 30 cm visine konstrukcije. Isto treba uračunati u jediničnu cijenu.</t>
  </si>
  <si>
    <t>Nakon ugradbe i zaglađivanja gornje bet. plohe, treba odgovarajućim mjerama zaštititi i njegovati beton (pokrivanjem hasurama, vlaženjem i polijevanjem i sl.) i uračunati u jediničnu cijenu. Odgovarajuće mjere treba primjenjivati dok beton ne dosegne bar 60% predviđene marke betona ili kako je predviđeno projektom konstrukcije. Ovo vrijedi naročito kod visokih temepratura okoline.</t>
  </si>
  <si>
    <t>Ako je beton izložen smrzavanju, mora imati bar 50% tražene marke prije prvog smrzavanja.</t>
  </si>
  <si>
    <t>Kvalitetu ugrađenog materijala i tekuće kontrole radova kod betoniranja treba izvoditelj dokazati certifikatima (atestima) i ispitivanjima dobivenim i izvedenim od strane za to ovlaštenog poduzeća, i isto uračunati u jediničnu cijenu.</t>
  </si>
  <si>
    <t>Pri izvedbi radova treba se strogo pridržavati važećih normativa, teh. uvjeta i pravilnika, elaborata za izvedbu bet. i ab radova, a u kvaliteti po nacrtima, detaljima i opisom iz odgovarajuće stavke troškovnika.</t>
  </si>
  <si>
    <t>Zidove i ploče prema tlu ( sve do kote +1.00 od terena) izvoditi s betonom s dodatkom za vodonepropusnost.</t>
  </si>
  <si>
    <t>Beton se ne smije ugrađivati sa slobodnim padom svježe betonske mase višim od 1,50 m, ako se ne poduzimaju posebne mjere za sprečavanje segregacije betona. Beton treba obavezno ugrađivati strojno (osim ako je žitke konzistencije) sa najvećom udaljenosti mjesta ugradbe do mjesta konačnog položaja od 1,50 m.</t>
  </si>
  <si>
    <t>Betoniranje se izvodi u slojevima ne višim od 0,70 m. Sljedeći sloj mora se ugraditi u vremenu koje osigurava spoj novog sloja sa starim. Ugradba betona u više slojeva izvesti tako da se gornji sloj vibrira a donji revibrira.</t>
  </si>
  <si>
    <t>Kod izvedbe armiračkih radova treba se u svemu pridržavati postojećih propisa i standarda.</t>
  </si>
  <si>
    <t>Betonski čelik u pogledu kvalitete mora odgovarati važećim standardima.</t>
  </si>
  <si>
    <t>Rebrasti čelik          - RA 500S   HRN C.B4.114, DIN</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</si>
  <si>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</si>
  <si>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čvrstoću, te dati nalog da se takav betonski čelik odstrani ili očisti.</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</si>
  <si>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</si>
  <si>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 xml:space="preserve">Ugrađivati se mora armatura po profilima iz statičkog računa, odnosno nacrta savijanja. Ukoliko je onemogućena nabava određenih profila zamjena se vrši uz odobrenje statičara. Postavljenu armaturu prije betoniranja dužan je osim rukovoditelja gradilišta i nadzornog inženjera, pregledati statičar, o tome izvršiti upis u građevinski dnevnik. </t>
  </si>
  <si>
    <t>Prilikom polaganja armature, naročitu pažnju posvetiti visini armature kod horiz. serklaža i armaturi u negativnoj zoni ploče kod ležaja (zidovi) kako nebi došlo do povećanja debljine ploče kod betoniranja zbog previsoko položene spomenute armature.</t>
  </si>
  <si>
    <t>Obračun ugrađene armature vrši se po kg bez obzira na profil. Jediničnom cijenom armature treba obuhvatiti:</t>
  </si>
  <si>
    <t>Mreže                         - MAG  500/560   HRN U.M1.091, HRN C.B6.013</t>
  </si>
  <si>
    <t>Savijeni čelik mora biti označen prema armaturnim nacrtima i u svemu mora zadovoljiti propise navedene u Službenom listu br. 51 od 18.11.1971. godine.</t>
  </si>
  <si>
    <t>- uzimanje izmjera na objektu</t>
  </si>
  <si>
    <t>- čišćenje nakon postave armature svakog pojedinog elementa</t>
  </si>
  <si>
    <t>- dobava</t>
  </si>
  <si>
    <t>- doprema</t>
  </si>
  <si>
    <t>- čišćenje od hrđe, rezanje, savijanje</t>
  </si>
  <si>
    <t>- privremeno skladištenje</t>
  </si>
  <si>
    <t>- doprema na gradilište</t>
  </si>
  <si>
    <t>- skladištenje na gradilištu</t>
  </si>
  <si>
    <t>- sortiranje i po potrebi premještanje</t>
  </si>
  <si>
    <t>- horizontalni i vertikalni transport, ugradba u konstrukciju, postavljanje i vezanje  armature točno prema armaturnim nacrtima sa podmetanjem podložaka i distancera kako bi se osigurala projektirana udaljenost između armature i oplate. U jediničnoj cijeni uključeni su svi tipovi distancera i žica za vezivanje.</t>
  </si>
  <si>
    <t>- potrebna radna skela</t>
  </si>
  <si>
    <t>- uzimanje potrebnih uzoraka, ispitivanje materijala te dostava atesta prije ugradnje i montaža i vezivanje.</t>
  </si>
  <si>
    <t>ZIDARSKI RADOVI - GRAĐEVINSKO-OBRTNIČKI RADOVI</t>
  </si>
  <si>
    <t>Sve vetikalne i horizontalne plohe moraju biti izvedene ravne i očišćene po završetku radova.</t>
  </si>
  <si>
    <t>Glede zaštite susjednih postojećih ili već izvedenih radova i ploha, horizontalnih ili vertikalnih, potrebno je iste na odgovarajući naćin zaštititi, plastičnim (PVC ili PE) folijama, ljepenkom, daskama i sl., tako da ne dođe do oštećenja radova ili ploha. Sve navedeno treba uračunati u jediničnu cijenu radova.</t>
  </si>
  <si>
    <t>Razne pomoćne konstrukcije i skele potrebne tijekom radova treba obvezno uračunati u jediničnu cijenu, osim gdje je to posebno predviđeno troškovnikom.</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</si>
  <si>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</si>
  <si>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 xml:space="preserve">Jediničnom cijenom treba također obuhvatiti i sve horizontalne i vertikalne transporte i prijenose osnovnog i pomoćnog materijala, do i na gradilištu, sve utovare, istovare i pretovare, te sva uskladištenja, sve do konačne ugradbe.
</t>
  </si>
  <si>
    <t>U slučaju eventualnih nejasnoća treba se u prvom redu poslužiti odgovarajućim i važećim normativima (građevinske norme). Sve zidarske radove treba izvesti i obračunati po G.N. 301.</t>
  </si>
  <si>
    <t>a/ 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</si>
  <si>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t>
  </si>
  <si>
    <t xml:space="preserve">Zidovi od opeke moraju imati slojeve potpuno horizontalne, s vertikalnim reškama koje se međusobno poklapaju.
</t>
  </si>
  <si>
    <t>Elementi izgrađeni od porobetona (Ytong plan blokovi i planploče) zidaju se točno po uputi proizvoditelja elemenata, koristeći isključivo materijale i alate koji su tehnologijom predviđeni. Zidanje se izvodi samo odgovarajućim (ljepilom) mortom.</t>
  </si>
  <si>
    <t>Mort naveden kao produžni, ustvari je produžni vapneni mort, a opeke i blok opeke izvedene su od pečene gline.</t>
  </si>
  <si>
    <t>b/ žbukanje</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</si>
  <si>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</si>
  <si>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Za pripremu cementnih ili produžno vapnenih mortova treba uporabiti isključivo portland cement. Voda za gašenje vapna i spravljanje mortova mora biti čista.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</si>
  <si>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</si>
  <si>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Elementi izgrađeni od porobetona (Ytong plan blokovi i planploče) žbukaju se samo žbukom koju preporuča proizvoditelja porobetona. Unutarnja žbuka preporuča se  jednoslojna debljine 8 mm. Fasadna žbuka je jednoslojna debljine 12 mm. Preporuča se strojna izvedba žbuke.</t>
  </si>
  <si>
    <t>Pri izvedbi radova treba se strogo pridržavati važećih normativa, teh. uvjeta i pravilnika za izvedbu zidarskih radova, a u kvaliteti po nacrtima, detaljima i opisu iz odgovarajuće stavke troškovnika.
Odgovarajući pravilnici i HRN-e u svezi zidarskih radova navedeni su u programu kontrole kvalitete.
Radovi vezani uz dobavu i postavu raznih instalacionih kanala, kao i razni pomoćni radovi oko štemanja, podziđivanja, zalijevanja, sidrenih profila i ugradbi istih kao i drugo nisu uključeni u ovom troškovniku, već su predmet posebnog troškovnika proizvođača kanala. Isto se odnosi i na sve uzidane elemente u sklopu navedenih kanala.</t>
  </si>
  <si>
    <t>Opeka za zidanje mora biti kvalitetna, dobro pečena te mora odgovarati kvaliteti propisanoj HRN-i. Zidanje fasadnom opekom izvesti točno prema uputama proizvoditelja opeke, kao i pravilno uskladištenje. Mort za zidanje mora odgovarati propisima HRN-i. Ukoliko su neke od odredbi ovih općih uvjeta u koliziji sa HRN-ma, vrijede odredbe HRN.</t>
  </si>
  <si>
    <t xml:space="preserve">Za potrebe žbukanja koristiti omjere : </t>
  </si>
  <si>
    <t>Cementni mort 1:4 – za pačokiranje</t>
  </si>
  <si>
    <t>Cementni mort 1:3 – za cementnu glazuru podova i ugradbu željeznih predmeta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</si>
  <si>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 Ravnost mora biti u skladu sa propisanim tolerantnim odstupanjima prema DIN 18202, s tim da su mjerodavni uvijek stroži zahtjevi. Skela za visine preko 1,5m uključena je u jediničnoj cijeni radova.</t>
  </si>
  <si>
    <t>Za unutarnje zidove od betona predviđena vapneno- cementna žbuka VC40. Nanosi se na očvrsli cem. Špric u debljin 15 mm.Nakon djelomičnog učvršćivanja, u pravilu drugi dan, VC 40 navlažiti vodom i zafilcati. Na spojevima kutova ugraditi kutni profil i obraditi spoj staklenom mrežicom.</t>
  </si>
  <si>
    <t>Zatvaranje prodora i šliceva može se posebno obračunati samo u slučaju ako su isti odštemani u već požbukanim zidovima.</t>
  </si>
  <si>
    <t>Za poravnanje bet. stropova u debljini 2-3 mm koristiti glet masu za beton uz prethodno nanošenje kontakt grunda. Ako je potrebno nanijeti deblji sloj od 5 mm, koristiti betonfiks koji se može nanositi do debljine 20 mm, koji se po nanošenju zafilca spužvastom gladilicom i zagleta.</t>
  </si>
  <si>
    <t>Produžni cem.mort 1:2:5 – za žbukanje zidova i fasade, zidanje zidova ispune i pregradnih zidova debljine ½ opeke</t>
  </si>
  <si>
    <t>Preporučuje se rad sa gotovim žbukama sa tipom žbuke definiranom prema stavci troškovnika.</t>
  </si>
  <si>
    <t>d/ ostalo</t>
  </si>
  <si>
    <t>c/ estrisi</t>
  </si>
  <si>
    <t>Cijenom obuhvatiti svo potrebno gradivo i rad za izradu kompletne podloge s tim da će se posebno iskazati cijena za podpodlogu ( eks. Polistiren, pe folija ), a posebno cijena za gradivo  i rad završnog sloja.</t>
  </si>
  <si>
    <t>Cem. Estrih ( plivajući pod ) izrađuje se nakon što su izrađeni pregradni zidovi. Kod zidova od knaufa upotrebljavati vanjsku ploču impregniranu  grund premazom  na mjestima gdje postoji mogućnost ovlaženja ploče tijekom radova ( izrada estriha, postavljanje podnih i zidnih keramičkih i kamenih obloga.</t>
  </si>
  <si>
    <t xml:space="preserve">Postupak izrade podloge u svim prostorima je jednak osim što variraju debljine estriha. Priprema i čišćenje podloge uključeno je u jedinične cijene. Prethodno se  kao  zvučnu izolaciju na gotovu AB ploču treba postaviti izolacijski materijal – ekspandirani  polistiren u debljini predviđenoj projektom. </t>
  </si>
  <si>
    <t xml:space="preserve">Ekspandirani  polistiren mora imati gustoću 15 kg/ m³ uz dinamičke module elastičnosti E din= 5,60N/m³. U fizikalnom smislu mora biti potpuno stabilan sa dokazom da je odležao min. 180 dana od dana proizvodnje. Vlažnost ne  smije prelaziti  7% od težine ploče. </t>
  </si>
  <si>
    <t>Prigušni sloj  potrebito je izvesti i okomito uz  zidove do visine gotovog poda sa pločama ekspandiranog polistirena debljine 1 cm ili sa trakom ethafoam-a, a kod svih prodora kroz podlogu spoj riješiti trajno el. kitom.</t>
  </si>
  <si>
    <t>Kao razdjelnu ravninu između prigušnog sloja i cem. estriha postaviti  tanku PE foliju  koja mora biti odignuta  i uz okomice prigušnog sloja.Preklopi folije moraju u svakom smjeru biti min. 20 cm. Debljina PE folije iznosi 0,02 cm.</t>
  </si>
  <si>
    <t>Cementni estrih mora odgovarati po kakvoći izvedbe standardu DIN 18560. Površina cementnog estriha mora pokazivati dobru prionljivost bez prisutnosti štetnih sastojaka ( cem. kore, ulja, masnoće, praha i sl. ) Prijanjajuća čvrstoća površine podloga mora biti barem 1,0N/mm². Tlačna, savijajuća i prijanjajuća čvrstoća trebaju odgovarati očekivanim opterećenjima i namjeni površine. U skladu sa DIN 18365, cem. estih primjeran je za oblaganje kod preostatka vlage najviše  2 CM %.</t>
  </si>
  <si>
    <t xml:space="preserve">Za gornji plašt, estrih, mora biti primjenjena bet. smjesa od agregata max. veličine zrna do 8 mm, s učešćem frakcije od 0-3 mm do max. 30 % težinskih postotaka. </t>
  </si>
  <si>
    <t>Cem. estrih potrebno je armirati polipropilenskim vlaknima u tež. omjeru po naputku proizvođača za MB  30. Primjenom ovih vlakana izbjegava se posebna izrada dilatacijskih razdjelnica, a podloga je lakša za izvođenje. Formiranje radnih i dilatacijskih razdjelnica uključeno je u jediničnoj cijeni estriha.razdjelnice formirati odmah nakon izvedbe na potrebnim razmacima i na prelazima gdje je to neophodno – npr. vrata, itd.</t>
  </si>
  <si>
    <t>Sve pukotine koje se pojave mimo izrađenih razdjelnica dužan je sanirati izvođač estrih ao svom trošku, zarezivanjem estriha poprečno na fugu pod kutem od 45º, te ugradnjom čeličnih rebrastih tipli u epoksidnoj smoli. Navedena sanacija ne smije imati odstupanja od postojeće površine estriha.</t>
  </si>
  <si>
    <t>Završnu površinu estriha dobro strojno zagladiti da je pripravna za izravno postavljanje završne obloge. Ravnost mora biti u skladu sa propisanim tolerantnim odstupanjima prema DIN 18202, odnosno  na duljini 5,0 m može odstupati do 0,2 cm, a poprečni pad najviše do 0,1 %. Izrada estriha u padu uključena je u jediničnu cijenu</t>
  </si>
  <si>
    <t>Po završetku plivajućeg poda od cem. estriha potrebno je zapisnički preuzeti izvedenu podlogu i to tako da budu prisutni nadzorni inženjer, izvoditelj estrih podloge i podopolagač završnog sloja. U slučaju da se mjerenjem utvrde neravnine veće od odzvoljenih odstupanja, poravnanje izvršiti samonivelirajućim masama  tiksotropnim izravnavajućim mortom s ultrabrzim vezanjem za izravnavanje i saniranje lokalnih neravnina podova i stubišta ( spremnim za daljnju obradu nakona 4 sata ). U slučaju pukotina neophodno je izvesti sanaciju istih kao što je gore navedeno. Poravnanje I sanacija pukotina ide na teret izvođača cem. estriha.</t>
  </si>
  <si>
    <t>IZOLATERSKI RADOVI - GRAĐEVINSKO-OBRTNIČKI RADOVI</t>
  </si>
  <si>
    <t>Hidroizolaciju ravnih ploha obvezno treba izvesti tako da se spriječi prodor vode izvan sistema odvodnje u svezi odredbi HRN U.N9.053, odnosno da pri topljenju leda i snijega voda ne prodire u građevinu, u svezi odredbi HRN U.N9.054.</t>
  </si>
  <si>
    <t>Kako se zgrada gradi u vodozaštitnom području treba predvidjeti takve materijale i izolacije koje ne djeluju agresivno na vodu.</t>
  </si>
  <si>
    <t>Rješenja načina izvedbe i svih detalja u svezi izolatarskih radova mora izvoditelj obvezno predočiti projektantu i tek nakon ovjere istih od strane projektanta može pristupiti izvedbi radova. Izrada rješenja neće se posebno platiti već predstavlja trošak i obvezu izvoditelja.</t>
  </si>
  <si>
    <t>Prilikom izvođenja izolacija mora se izvoditelj striktno pridržavati usvojenih i od strane projektanta ovjerenih detalja.</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</si>
  <si>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</si>
  <si>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po detalju izvedbe.</t>
  </si>
  <si>
    <t>Nakon izvedbe svakog sloja izolacije (parna brana, toplinska izolacija, hidroizolacija i drugo) treba isti pregledati nadzorni inženjer i tek se nakon pozitivnog mišljenja i upisa u građevinski dnevnik može izvoditelj nastaviti s daljnjim radom. Nepravilno ili nekvalitetno izvedene slojeve mora izvoditelj na svoj trošak ukloniti i izvesti pravilno.</t>
  </si>
  <si>
    <t>U sklopu stavke treba slojeve izolacije (osim toplinske, gdje to nije drugačije navedeno troškovnikom) izvesti povijene uz bočne vertikalne ili kose plohe visine do 15 cm bez posebne naplate, u cijeni m2 tlocrtne izolacije.</t>
  </si>
  <si>
    <t>Gdje je potrebno, treba izvoditelj izvesti i holkere visine 15-30 cm i obračunati ih u m2 razvijene površine izolacije, ako troškovnikom nije drugačije određeno. Veća visina slojeva izolacije (od 30 cm) obračunava se u posebnim stavkama.</t>
  </si>
  <si>
    <t>Tako izveden prelazni detalj s svim slojevima izolacije treba završno zaštititi. Ukoliko nije predviđen poseban detalj, treba izvesti holker cementnim mortom 1:1, M-10, deb. oko 3-4 cm, po HRN U.M2.010, armiran pocinčanom rabic mrežom, dilatiran svaka 2 m. Sve navedeno treba uračunati u jediničnu cijenu m2 izolacije.</t>
  </si>
  <si>
    <t>Sve spojeve plastičnih (PE ili PVC) folija treba variti vrućim zrakom ili spjati samoljepivom trakom širine minimalno 4 cm, odnosno izvesti po detalju izolacije, sve bez posebne naplate.</t>
  </si>
  <si>
    <t>Cijenom izvedbe radova treba obvezno uključiti dobavu svih materijala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</si>
  <si>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slojeva izolacije po detaljima kod prelaza, lomova i  sudara ploha, završetka slojeva izolacija, oko raznih šahtova, kanala i prodora kroz slojeve izolacija, ugradbu raznih rubnih traka, putz lajsni i slično, sve do potpune gotovosti i funkcionalnosti.</t>
  </si>
  <si>
    <r>
      <t>Pri radu se treba obvezno pridržavati odredbi HRN-i, ali se postavlja dodatni zahtjev (izvan HR normi): postojanost izolacionog materijala na niskim temperaturama do -10</t>
    </r>
    <r>
      <rPr>
        <vertAlign val="superscript"/>
        <sz val="10"/>
        <rFont val="Calibri"/>
        <family val="2"/>
        <charset val="238"/>
        <scheme val="minor"/>
      </rPr>
      <t>o</t>
    </r>
    <r>
      <rPr>
        <sz val="10"/>
        <rFont val="Calibri"/>
        <family val="2"/>
        <charset val="238"/>
        <scheme val="minor"/>
      </rPr>
      <t>C, uz zadržavanje nazivne čvrstoće na kidanje u oba smjera u približno jednakoj veličini.</t>
    </r>
  </si>
  <si>
    <r>
      <t>Ukoliko nije predviđen poseban detalj, holkere treba izvesti od traka ekspandiranog polistirena ili sl. rezanim pod 45</t>
    </r>
    <r>
      <rPr>
        <vertAlign val="superscript"/>
        <sz val="10"/>
        <rFont val="Calibri"/>
        <family val="2"/>
        <charset val="238"/>
        <scheme val="minor"/>
      </rPr>
      <t>o</t>
    </r>
    <r>
      <rPr>
        <sz val="10"/>
        <rFont val="Calibri"/>
        <family val="2"/>
        <charset val="238"/>
        <scheme val="minor"/>
      </rPr>
      <t>,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r>
  </si>
  <si>
    <t>Glede navedenih kvaliteta materijala definiranih troškovnikom, ponuđači mogu ponuditi i druge vrste materijala i radova prema svojoj tehnologiji i mogućnostima, ali samo uz suglasnost projektanta i ako zadovoljavaju odredbe HRN-i. Ovo se odnosi posebice na rješavanje detalja izolacija u dilatacijama.</t>
  </si>
  <si>
    <t>Pri izvedbi fasaderskih radova izvođač je dužan pridržavati se svih uvjeta i opisa u troškovniku,</t>
  </si>
  <si>
    <t>kao i važećih propisa i to posebno:</t>
  </si>
  <si>
    <t>- Pravilnik o tehničkim mjerama i uvjetima za izvedbu zgrada, (Sl. br.: 17/70),</t>
  </si>
  <si>
    <t>- Pravilnik o tehničkim normativima za projektiranje i izvođenje radova u građevinarstvu, (Sl. br.: 21/90),</t>
  </si>
  <si>
    <t>- Tehnički uvjeti za izvođenje fasaderskih radova</t>
  </si>
  <si>
    <t>- Posebna uputstva proizvođača</t>
  </si>
  <si>
    <t>- Pravilnik o zaštiti na radu u građevinarstvu, (Sl. br.: 42/68), Zidarski radovi, čl. 41 -55 i</t>
  </si>
  <si>
    <t>- Skele, čl. 73 -112</t>
  </si>
  <si>
    <t>- Zakon o zaštiti na radu (NN 59/69, 94/96, 114/03 i 42/05)</t>
  </si>
  <si>
    <t>Materijali:</t>
  </si>
  <si>
    <t>Materijali za fasaderske radove u pogledu kakvoće moraju odgovarati svim važećim standardima i pojedinačnim standardima i normama za svaki ugrađeni materijal koji je sastavni dio fasadne žbuke.</t>
  </si>
  <si>
    <t>Materijali za žbuke od poliakrilne mase sastoje se iz agregata, postojanih pigmenata, te akrilnog veziva.</t>
  </si>
  <si>
    <t>Svi nanosi žbuke i premazi moraju imati:</t>
  </si>
  <si>
    <t>- dobra fizičko - mehanička svojstva</t>
  </si>
  <si>
    <t>- dobra vlažnosna svojstva</t>
  </si>
  <si>
    <t>- visoku rezidentnost i vremensko postojanje</t>
  </si>
  <si>
    <t>- povoljnu i laganu ugradljivost</t>
  </si>
  <si>
    <t>Fizičko - mehanička svojstva:</t>
  </si>
  <si>
    <t>- otpornost na habanje</t>
  </si>
  <si>
    <t>- otpornost na udarce</t>
  </si>
  <si>
    <t>- prionjljivost na podlogu u suhom i mokrom stanju</t>
  </si>
  <si>
    <t>Vlažnosna svojstva:</t>
  </si>
  <si>
    <t>- otpornost na ispiranje kišom</t>
  </si>
  <si>
    <t>- otpornosti prema atmosferskoj vlazi</t>
  </si>
  <si>
    <t>- otpornost na hidrostatki tlak</t>
  </si>
  <si>
    <t>- paropropusnost</t>
  </si>
  <si>
    <t>Rezistentnost:</t>
  </si>
  <si>
    <t>- otpornost prema povišenim temperaturama</t>
  </si>
  <si>
    <t>- promjene boje pod djelovanjem sunca i kiše</t>
  </si>
  <si>
    <t>- otpornost prema brzom starenju</t>
  </si>
  <si>
    <t>- otpornost prema kemikalijama</t>
  </si>
  <si>
    <t>Podloga na koju se nanosi žbuka za fasadu od sintetičkih materijala treba biti suha, bez masnih mrlja i prašine.</t>
  </si>
  <si>
    <t>Stare i jako porozne podloge potrebno je zaštiti.</t>
  </si>
  <si>
    <t>Obračun rada:</t>
  </si>
  <si>
    <t>Obračun fasaderskih radova vrši se po metru kvadratnom, uključujući sav materijal, rad, pribor za izvođenje i skelu, ako u opisu stavke nije drugačije navedeno.</t>
  </si>
  <si>
    <t>Materijali za vodoodbojne fasadne žbuke sastoje se iz žbuka na bazi cementa i vapna sa dodatkom raznih aditiva za dobivanje vodoodbojnih svojstava žbuke.</t>
  </si>
  <si>
    <t>Predviđena je izvedba fasadnih elemenata (prozori, vrata, stijene i drugo), pa se izvoditelj radova prije davanja ponude i izvedbe mora točno upoznati sa načinom izvedbe, materijalima i tehnologijom navedenog proizvoditelja.</t>
  </si>
  <si>
    <t xml:space="preserve">Prije izvedbe radova izvoditelj je dužan izraditi i projektantu predočiti detalje izvedbe i radioničke nacrte kao i materijale za izvedbu. Tek nakon izbora i odobrenja projektanta može se otpočeti rad u odabranoj kvaliteti. </t>
  </si>
  <si>
    <t xml:space="preserve">Prilkom izvođenja radova mora se  izvoditelj striktno pridržavati i od strane projektanta prihvaćenih materijala i detalja. </t>
  </si>
  <si>
    <t xml:space="preserve"> Za sve stijene na fasadi vrijedi da u jediničnoj cijeni treba obuhvatiti: dobavu, prijevoz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izboru projektanta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sve troškove ispitivanja do dobivanja certifika, uključivo sve potrebne materijale, uzorke i radnje vezane uz isto; potrebnu radnu skelu.</t>
  </si>
  <si>
    <t xml:space="preserve">Prije izvedbe mjere svih stavki treba obvezno kontrolirati na licu mjesta. </t>
  </si>
  <si>
    <t>Svi vidljivi dijelovi stavki moraju biti završno obrađeni po izboru projektanta, a obrada mora biti apsolutno postojana bez promjene tona s obzirom na starenje i atmosferilije.</t>
  </si>
  <si>
    <t>Svi ugrađeni profili moraju se obvezno izvesti s prekinutim toplinskim mostom. Svi termički zahtjevi na fasadnim elementima moraju se ispuniti tako da zadovoljavaju traženu toplinsku izolaciju u skladu s važećim normama.</t>
  </si>
  <si>
    <t>Tamo gdje na fasadi dolazi puni dio stijene, isto treba izvesti termoizoliranim panelom, obostrane obloge punim glatkim limom, završne obrade po odabiru projektanta. Ispuna panela izvodi se toplinskom izolacijom, u debljini od min. 6 cm ili po proračunu fizike.</t>
  </si>
  <si>
    <t>Sve fasadne stavke treba ispitati glede odredbe HRN U.J6.201/89, akustika u zgradarstvu, za klasu I, sa Rw=35-39 dBa.</t>
  </si>
  <si>
    <t>Sve fasadne stavke treba ispitati glede odredbe HRN D.E8.193, otpornost fasadnih prozora i vrata na propusnost zraka/vode, za "D/D" ili "C/C" klasu.</t>
  </si>
  <si>
    <t>Ostakljenje izvesti po opisu iz stavke troškovnika.</t>
  </si>
  <si>
    <t>Vrata u stijene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</si>
  <si>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stavki ispuniti poliuretanskom pjenom, izvana kitati trajno elastičnim ktiom a iznutra pokriti kutnim letvicama. Spajanje pojedinih elemenata u veće cjeline brtviti i vršiti po uputi proizvoditelja a bez posebne naknade.</t>
  </si>
  <si>
    <t>Svi vidljivi dijelovi konstrukcije izvedene alu profilima i limovima moraju biti završno eloksirani u boji i tonu po izboru projektanta, a obrada eloksiranjem mora biti apsolutno postaojana bez promjene tona s obzirom na starenje i atmosferilije.</t>
  </si>
  <si>
    <t>Svi vijci i spojna sredstva moraju obavezno biti od nerđajućeg materijala, izvedeno u antikorozivnoj izvedbi.</t>
  </si>
  <si>
    <t xml:space="preserve">Svi spojevi moraju biti fino završno obrađeni. Dimenzije šprljaka su pretpostavljene a stvarne ovise o proizvoditeljskom detalju. Kutne spojeve izvesti hidrauličkim uprešavanjem, a mjesta naročito osjetljiva na popuštanje brtve se dodatno. </t>
  </si>
  <si>
    <t>Brave svih vrata su cilindar. Kod ulaznih vrata u zgrdu brave su cilindar s električnim otvaranjem a vrata opremljena s kompletnim portafon uređajem pa treba predvidjeti odgovarajuće detalje i priključke instalacija do samih vrata (sve u cijeni).</t>
  </si>
  <si>
    <t>Svako vratno krilo u stalnoj uporabi treba opremiti s hidrauličkim samozatvaračem po izboru projektanta.</t>
  </si>
  <si>
    <t>Dijelove stavki koje se izvode čel. profilima i limom treba prije dopreme na gradilište jednokratno minizirati, i po ugradi izvesti završno bojanje uljanom bojom za bolju obradu, koja obuhvaća: čiščenje od rđe, po potrebi; ličenje očišćenih mjesta antikorozivnim naličem u 2 sloja; kitanje pukotina i rupica uljnim kitom; dva naliča uljanom bojom.</t>
  </si>
  <si>
    <t xml:space="preserve"> 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</si>
  <si>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Prije davanja ponude izvoditelj treba obvezno sve nedoumice i nejasnoće razjasniti s projektantom, jer se nikakve naknadne primjedbe neće uvažiti.</t>
  </si>
  <si>
    <t>a/ ispitivanja</t>
  </si>
  <si>
    <t>b/ ostakljenje</t>
  </si>
  <si>
    <t>c/ brtvljenja</t>
  </si>
  <si>
    <t>d/ materijal</t>
  </si>
  <si>
    <t>Dijelovi bravarije koji se izvode nerđajućim (inox) čelikom, izvode se po tehnologiji proizvoditelja. Ostali eventualni manji elementi izvode se čeličnim limovima i profilima.</t>
  </si>
  <si>
    <t>Sav okov izvesti od nehrđajućeg materijala, a po izboru i dogovorno s projektantom. Svi dijelovi okova trebaju biti skriveni. Dijelove okova od čelika izvesti s presvlakom od cinka vrućim pocinčavanjem 60 g/m2, osim za sidra ankere, koje treba pocinčati 180 g/m2.</t>
  </si>
  <si>
    <t>e/ razno</t>
  </si>
  <si>
    <t>STOLARSKI RADOVI - GRAĐEVINSKO-OBRTNIČKI RADOVI</t>
  </si>
  <si>
    <t>ALUMINIJSKO-BRAVARSKI RADOVI - GRAĐEVINSKO-OBRTNIČKI RADOVI</t>
  </si>
  <si>
    <t xml:space="preserve">Prilikom izvođenja radova mora se  izvoditelj striktno pridržavati i od strane projektanta prihvaćenih materijala i detalja. </t>
  </si>
  <si>
    <t>Za svu stolariju vrijedi da u jediničnoj cijeni treba obuhvatiti: dobavu, prevoz i ugradbu stolarije, komplet završno ugrađenih, obrađenih i funkcionalnih; sve prijenose i uskladištenja; svo ostakljenje u kvaliteti i kvantiteti po opisu; sva brtvljenja i kitanje reški i dilataciju između pojedinih elemenata same stavke i između stavke i susjednih ploha; slijepe dovratnike za ugradbu; završno obrađene finalne dovratnike; sve pokrovne, kutne letvice i profile; okvire za ugradbu, sva sidra i sidrene detalje i profile; sav okov po izboru projektanta uključivo brave i ključeve, ručke ili prečke te odbojnike ili zaustavljače vratnih krila podne ili zidne;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</si>
  <si>
    <t>Dimenzije krila moraju odgovarati odredbama HRN-a D.E1.020. Materijal za izradu stolarije mora odgovarati odredbama HRN-a D.E1.011 (jela ili smreka).</t>
  </si>
  <si>
    <t>Sva unutarnja stolarija ugrađuje se u suhoj ugradbi. Izrada, doprema i ugradba dovratnika za suhu ugradbu mora biti uključena u jediničnu cijenu stavke. U cijeni treba uključiti i dobavu i montažu te okivanje i  pripasivanje finalnih dovratnika i krila, kao i pripisivanje kutnih i pokrovnih letvica, uključivo spajanje elemenata stijena u cjelinu i pokrivanje spojeva odgovarajućim letvicama ili profilima, gdje su potrebne bez obzira ako nisu navedeni opisom stavke troškovnika.</t>
  </si>
  <si>
    <t>Glave upuštenih vijaka treba pokriti odgovarajućim drvenim čepovima.</t>
  </si>
  <si>
    <t>Dobava i ugradba podnih ili zidnih odbojnika uključena je u cijeni stavke.</t>
  </si>
  <si>
    <t xml:space="preserve">Unutarnja vrata su izvedena s limenim dovratnikom širine 10 ili 16 cm, odnosno u Knauf ® pregradnim stijenama širine 10 cm i 12,5 cm ili po detalju, završno ličenim bojom za unutarnje premaze stolarije vrlo dobre kvalitete (uljni ili sintetski sistemi naliča), u boji i tonu po izboru projektanta. Ličenje izvesti u dva premaza, uključivo sve potrebne prethodne radnje i pripreme podloge za ličenje. </t>
  </si>
  <si>
    <t>Po cijelom opsegu dovratnika na koji dosjeda vratno krilo treba ugraditi odgovarajući gumeni brtveni profil.</t>
  </si>
  <si>
    <t xml:space="preserve">Stavke prozora s aluminijskim roletama uskladiti s vrstom kutije za roletu zavisno o izvedbi  kutija za rolete i samih prozora. </t>
  </si>
  <si>
    <t>Okov prvoklasni, obvezno po izboru projektanta. Brava je cilindar.</t>
  </si>
  <si>
    <t>Sva vrata izvode se prema shemama.</t>
  </si>
  <si>
    <t xml:space="preserve">Drveni dijelovi vratnih krila su:
-završno ličeni bojom za unutarnje premaze stolarije vrlo dobre kvalitete (uljni ili sintetski sistemi naliča), u boji i tonu po izboru projektanta. Ličenje izvesti u dva premaza, uključivo sve potrebne prethodne radnje i pripreme podloge za ličenje.
- furnirani prvoklasnim svijetlim furnirom, te završno ličeni bezbojnim lazurnim lak premazom za unutarnju stolariju vrlo dobre kvalitete. Lazurni nalič izvesti u tri premaza, sa dodatkom laka u završni sloj, uključivo sve potrebne prethodne radnje i pripreme podloge za ličenje
</t>
  </si>
  <si>
    <t>Kod polaganja kamena u mort treba paziti da pijesak bude opran i odgovarajućeg granulometrijskog sastava, a za zapunu fuga ne smije biti s zrnom većim od 6 mm. Cement i razni dodaci te voda ne smiju biti sa sastojcima koji bi mogli štetno djelovati na kamenu oblogu, sastojke morta ili metalna spojna sredstva, te da ne mijenjaju boju kamena ili izazivaju rascvjetavanje.</t>
  </si>
  <si>
    <t>Polaganje podnih ploča na mort izvodi se na cementnom mortu "zemljovlažne" konzistencije, debljine minimalno 2 cm. Ploče se polažu točno horizontalno ili u nagibu po projektu. Po završnom oblaganju poda fuge zaliti žitkim cem. mortom a višak morta se nakon stvrdnjavanja mora pažljivo ostrugati i zaprljana mjesta po potrebi oprati.</t>
  </si>
  <si>
    <t>Sokl se izvodi polaganjem ploča na cem. mort ili pomoću odgovarajućeg ljepila za određeni tip ploča i kamena, točno po uputi projektanta.</t>
  </si>
  <si>
    <t>Uporabljena metalna spojna sredstva (kotve-nosači, obične kotve te spone i klinovi) glede određenih uvjeta oblaganja zidova moraju biti izrađeni od obavezno nekorodirajućeg materijala i tako dimenzionirane da nose cjelokupnu težinu ploča.</t>
  </si>
  <si>
    <t>Kamenarski radovi izvode se gleda odredbi HRN U.F7.010.</t>
  </si>
  <si>
    <t>Radove na izvedbi kamenarskih radova može izvoditi samo poduzeće specijalizirano i registrirano za izvođenje tih radova, dokazano na odgovarajućim poslovima. Stručnost radne snage izvoditelj mora dokazati odgovarajućim certifikatima.</t>
  </si>
  <si>
    <t>Prilikom radova izvoditelj je dužan zaštititi sve susjedne plohe, djelove konstrukcije i već izvedene radove na prikladan način i u skladu s pravilima zaštite na radu, da ne bi došlo do oštećenja gore navedenog i isto uračunati u jediničnoj cijeni.</t>
  </si>
  <si>
    <t>Ukoliko prilikom radova greškom izvoditelja ili njegovog kooperanta ipak dođe do oštećenja, isto je dužan izvoditelj ili njegov kooperant o svom trošku popraviti u prvobitno predviđenom roku ili dogovorno.</t>
  </si>
  <si>
    <t>Za sav ugrađeni materijal izvoditelj je dužan priložiti odgovarajuće certifikate izdane od strane za to ovlaštene institucije. Sve troškove ispitivanja mora izvoditelj uračunati u jediničnu cijenu.</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</si>
  <si>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stavki troškovnika; sve potrebne zaštitne konstrukcije i skele, kao i sve drugo predviđeno mjerama zaštite na radu i pravilima struke.</t>
  </si>
  <si>
    <t>KAMENARSKI RADOVI - GRAĐEVINSKO-OBRTNIČKI RADOVI</t>
  </si>
  <si>
    <t>a/ općenito</t>
  </si>
  <si>
    <t>KERAMIČARSKI RADOVI - GRAĐEVINSKO-OBRTNIČKI RADOVI</t>
  </si>
  <si>
    <t>Prije početka izvođenja radova, izvoditelj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</si>
  <si>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</si>
  <si>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</si>
  <si>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</si>
  <si>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</si>
  <si>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Oblaganje podnih površina mora se izvesti tako da se dobiju plohe bez valova, izbočenja i udubljenja, kao ravne plohe ili plohe u potrebnom nagibu, s jednoličnim i dovoljno širokim fugama.</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</si>
  <si>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</si>
  <si>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Gornji rub sokla (ako nije tipski sokl) i zidnog opločenja koje ne ide do stropa treba obavezno izvesti polukružno zaobljenom užljebinom od nepropusne smjese, po cijeloj dužini ruba opločenja. Isto treba uračunati u jediničnu cijenu izvedbe iako to nije posebno navedeno opisom stavke.</t>
  </si>
  <si>
    <t>Kod podnih ploha koje se oblažu pločicama u cem mortu isti mora biti debljine 2-3 cm. Ukoliko je mort deblji treba ga obavezno armirati laganom isteg mrežom, što treba uračunati u jediničnu cijenu.</t>
  </si>
  <si>
    <t>Po završetku radova potrebno je na 3 dana zabraniti promet i kretanje ljudi plohama. Do trenutka uporabe pod treba zaštititi piljevinom ili kartonima.</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</si>
  <si>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</si>
  <si>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Keramičarski radovi izvode se u svezi odredbi HRN U.F2.011.</t>
  </si>
  <si>
    <t>Kod pločica koje se polažu ljepljenjem treba koristiti odgovarajuće ljepilo (glede kvalitete pločica i uvjeta oblaganja), a rad treba izvesti točno po uputi proizvođača ljepila.</t>
  </si>
  <si>
    <t>LIMARSKI RADOVI - GRAĐEVINSKO-OBRTNIČKI RADOVI</t>
  </si>
  <si>
    <t xml:space="preserve">Prije početka izvedbe radova, izvoditelj je obvezan predočiti projektantu detalje izvedbe i savijanja limova, i tek po odobrenju i nakon ovjere istih od strane projektanta radovi može pristupitit izvedbi radova. Izrada rješenje neće se posebno platiti već predstavlja trošak i obvezu izvoditelja.
</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</si>
  <si>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</si>
  <si>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</si>
  <si>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</si>
  <si>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</si>
  <si>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 xml:space="preserve">Sve spojeve lima ili nosača lima od plosnog željeza i fasadnih ploha treba izvesti vrlo pažljivo da se ne ošteti fasadna ploha. Ukoliko do toga ipak dođe oštećenje treba popraviti izvoditelj na svoj trošak.
</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</si>
  <si>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</si>
  <si>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Oblaganje vanjskih dijelova zgrada limom mora se izvesti u svezi odredbi HRN U.N9.055..</t>
  </si>
  <si>
    <t>SOBOSLIKARSKI RADOVI - GRAĐEVINSKO-OBRTNIČKI RADOVI</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</si>
  <si>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</si>
  <si>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</si>
  <si>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</si>
  <si>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 radu treba se striktno pridržavati pravila zaštite na radu, uz primjenu odgovarajućih zaštitnih sredstava. Sve prostorije po završetku radova treba dobro prozračiti ili ventilirati.</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</si>
  <si>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</si>
  <si>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Sav prostor koji je izvoditelj koristio treba nakon završetka radova dovesti u prijašnje stanje i počistiti sav prostor od svojeg smeća, šute i otpada.</t>
  </si>
  <si>
    <t>Izvoditelj treba kvalitetu ugrađenih materijala i stručnost radnika dokazati odgovarajućim certifikatima izdanim od strane za to ovlaštene institucije. Za materijale koji nisu standardni treba izvoditelj osigurati uzorke i dati ih na ispitivanje.</t>
  </si>
  <si>
    <t>Svi ličilački radovi vezani uz stolariju i bravariju uključeni su u jediničnoj cijeni izvedbe odgovarajuće stavke stolarskih i bravarskih radova.</t>
  </si>
  <si>
    <t>OSTALO - GRAĐEVINSKO-OBRTNIČKI RADOVI</t>
  </si>
  <si>
    <t>Obračun po m2 zazidanog zida.</t>
  </si>
  <si>
    <t xml:space="preserve">Predviđenu kategoriju tla u troškovniku izvoditelj treba provjeriti na licu mjesta. Ukolika kategorija u troškovniku ne odgovara, potrebno je ustanoviti ispravnu i tu upisati u građevinski dnevnik, što obostranu potpisuju nadzorni inženjer i voditelj građenja, te zajedno s projektantom i statičarem odrediti novi način temljenja. Za sve štete koje bi nastale uslijed pogrešnog temeljenja odgovoran je izvoditelj. </t>
  </si>
  <si>
    <t>Obračun po m2.</t>
  </si>
  <si>
    <t>Obračun po m' kutnog profila.</t>
  </si>
  <si>
    <t>Izvesti po tehnologiji i detaljima odabranog proizvođača, koristeći isključivo tehnologijom predviđene materijale i alate. Uključivo izvedbu spojeva s slojevima vertikalne i horizontalne hidroizolacije i slojeve izolacija međusobno. U cijeni komplet slojevi, sa svim potrebnim obradama kod prodora, dilatacionih i rubnih detalja. Izvesti prema uputama proizvođača.</t>
  </si>
  <si>
    <t>Bojenje disperzivnim bojama unutrašnjih površina zidova i stropova. Boju odabire projektant, prema predočenoj ton karti. Zidovi se bojaju od visine 210 cm pa do stropa u prizemlju, a u podrumu se boja cijela visina od 340 cm.
Sve potrebne predradnje i skela, uključeno u cijenu. Bojanje se izvodi trokratno uz prethodno nanošenje temeljnog sloja. Sve izvesti prvoklasno od prvoklasnog materijala.</t>
  </si>
  <si>
    <t>Obračun po kom specificirano po dimenzijama.</t>
  </si>
  <si>
    <t>GIPSKARTONSKI RADOVI</t>
  </si>
  <si>
    <t>9.2.</t>
  </si>
  <si>
    <t>9.3.</t>
  </si>
  <si>
    <t>11.2.</t>
  </si>
  <si>
    <t>11.3.</t>
  </si>
  <si>
    <t>11.4.</t>
  </si>
  <si>
    <t>11.5.</t>
  </si>
  <si>
    <t>Obračun po m' klupčice.</t>
  </si>
  <si>
    <t>9.1.</t>
  </si>
  <si>
    <t>Svi materijali za spuštene stropove ili pregradne stijene i obloge moraju biti prvoklasni, moraju odgovarati važećim standardima i moraju posjedovati ateste a svi radovi moraju se izvoditi prema uputama proizvođača elemenata od kojih se radovi izvode.</t>
  </si>
  <si>
    <t>Ploče koje se ugrađuju su standardnih dimenzija 200 / 125 cm. Spojevi ploča moraju se prekriti trakama od staklenog voala i zagladiti propisanom glet masom. Rubovi ploča gdje je potrebno osiguranje od oštećenja, ojačavaju se kant al. perforiranim profilima, te se gletaju. Po završetku gletanja površine treba prebrusiti finim brusnim papirom tako da plohe budu potpuno glatke i vez vidljivih tragova spajanja i sl. Spoj sa zidom ili vertikalnim plohama stropa mora biti zapunjen akrilnim kitom.</t>
  </si>
  <si>
    <t>Kod izvođenja radova potrebno je pridržavati se svih uputa proizvođača naročito glede uskladištenja ploča i uvjeta temperature i vlažnosti zraka prostora u kojima će se  vršiti ugradba ( temp. Od 11-35 stupnjeva i rel. vlažnost zraka do 70% ). Prije početka ugradbe ploče treba donijeti u prostor u koji se ugrađuju min. 24 sata ranije da bi se prilagodile mikroklimatskim uvjetima.</t>
  </si>
  <si>
    <t>Montaža podkonstrukcije za pregradne zidove započinje prije izrade estriha. Pregradni zidovi moraju imati traženo prigušenje zvuka od 35 dBa, sa ugradbom min. 5 cm mineralne vune tež. 50 kg/m² unutar zida. Obavezno je brtvljenje sudarnih spojnica uz zidove, strop i pod brtvenom trakom. Izvedba prema detaljima proizvođača. Po završetku je potrebno o trošku izvoditelja radova zatražiti ispitivanje prigušenja zvuka od ovlaštene pravne osobe uz predočenje rezultata mjerenja ( atest ).</t>
  </si>
  <si>
    <t>Montažni zidovi sistema tip kao KNAUF se izvode od podkonstrukcije - nosivih CW profila od pocinčanog lima debljine 0,7 mm presjeka 50/100 mm na maksimalnom razmaku 41,7 - 62,5 cm ( ako stavkom nije drugačije naznačeno ) te s donjim i gornjim UW-profilom. Između profila se umeće mineralna vuna i osigurava se od micanja. Kod spoja sa zidom, stropom ili podom na profile se nanosi brtvena masa, a posebno i temeljito kod zahtjeva za zaštitu od buke. Sve rubne profile na spojevima s podom, stropom i sa zidovima treba učvrstiti odgovarajućim učvrsnim elementima. Učvrsni element za masivni zid, pod ili strop je tipla s vijkom. Za ostale priključne površine koriste se učvrsna sredstva koja odgovaraju podlozi. Sve profile koji su u dodiru s bočnim zidovima i s podom odn. stropom treba prije montaže obložiti samoljepivom PE bertvenom trakom odgovarajuće širine.</t>
  </si>
  <si>
    <t>Na potkonstrukciju se obostrano pričvršćuju gipskartonske ploče prema opisu u stavci pomoću tzv. vijaka za brzu ugradnju. Kod višeslojnog oblaganja spojevi donjih slojeva GK ploča se samo zapunjavaju a spojevi gornjeg sloja se završno obrađuju gletanjem kako je već opisano. Nakon obrade spojeva završno čitavu površinu pregletati smjesom za izravnanje što ulazi u stavku, tako da su zidovi potpuno pripremljeni za ličenje ili oblaganje keramičkim pločicama. Kod neprekidnih zidova potrebno je u razmaku od 15-20 m ugraditi dilatacijske spojeve. Kod neprekidnih zidnih obloga potrebno je u razmaku od ca.10 m ugraditi dilatacijske spojeve.</t>
  </si>
  <si>
    <t>Spušteni strop izradit će se kao glatki kontinuirani s vodoravnim neprekinutim podgledom iz Knauf ploča na čeličnoj, pokrivenoj potkonstrukciji (sastoji se iz nosive i montažne potkonstrukcije iz pocinčanih profila) koja se ovjesnim elementima učvršćuje za nosivi strop.</t>
  </si>
  <si>
    <t>Podkonstrukcija se izrađuje od CD profila 60x27 u jednoj razini (tip D 113) ili iz nosivih i montažnih profila u dvije razine (tip D 112), od pocinčanog lima debljine 0,7 mm i posebnih vješača koji se vijcima s tiplima pričvršćuju o stropnu konstrukciju ( anker fix ovjes sa žicom ili nonius ovjesni element ). Nosivi profili su na razmaku od 75 -100 cm, ovješeni na maksimalnom razmaku od 60 - 90 cm. Na nosive profile dolaze montažni na maksimalnom razmaku od 40-62,5 cm.</t>
  </si>
  <si>
    <t>Spoj stropa sa zidom izvesti UD profilima. Učvršćenje izvesti pogodnim sredstvima ovisno o materijalu zida.</t>
  </si>
  <si>
    <t>Kod izvedbe konstrukcija od GK ploča potrebno se držati svih uputa proizvođača, naročito glede uskladištenja ploča i uvjeta temperature i vlažnosti zraka prostora u kojima će se izvoditi spušteni strop Prije izvedbe stropa ploče moraju biti na mjestu ugradnje najmanje 24 sata ranije, da bi se prilagodile mikroklimatskim uvjetima prostora. S polaganjem se može započeti tek kad su završeni svi radovi žbukanja, estriha i sl. te su dovoljno suhi, nakon ugradnje prozora, montaže grijanja i svih instalacija koje dolaze unutar stropa. Ljeti je potrebno osigurati prozračivanje, a zimi za montažu treba biti uključeno grijanje. Za učvršćenje tereta na GK konstrukciju treba primjeniti specijalna pričvrsna sredstva te se pridržavati uputa o max opterećenju. Mjesta na kojima je predviđena ugradba rasvjetnih tijela, potrebno je u konstrukciji ojačati profilima, kako bi se lampe učvrstiti na strop.</t>
  </si>
  <si>
    <t>Kod odabira konstrukcije zida treba poštivati odredbe norme ÖNORM B 3415.</t>
  </si>
  <si>
    <t>U jediničnoj cijeni sadržano je:</t>
  </si>
  <si>
    <t>- sav materijal, dobava i uskladištenje, te unutarnji transporti</t>
  </si>
  <si>
    <t>- sav rad opisan u stavci</t>
  </si>
  <si>
    <t>- popravci štete na vlastitom ili drugim radovima učinjeni iz nepažnje</t>
  </si>
  <si>
    <t>- troškovi zaštite na radu i troškovi atesta</t>
  </si>
  <si>
    <t>Dokaz za postizanje zahtjevanih razreda vatrootpornosti za zidnu konstrukciju osigurava izvođač radova putem atesta ovlaštene institucije, ako razred vatrootpornosti ne proizlazi iz normi: ÖNORM B 3800 / HRN U.J1.090 / DIN 4102.</t>
  </si>
  <si>
    <t>Radovi za prilagodbu na instalacijske i ugradbene dijelove, koji su ugrađeni prije oblaganja, posebno se ne obračunava.</t>
  </si>
  <si>
    <t>Prekidi rada (vrijeme čekanja) koji su posljedica instalacijskih radova ukalkulirani su u jedinične cijene.</t>
  </si>
  <si>
    <t>Radove izvoditi tek pošto su montirane i ispitane instalacije koje se nalaze unutar GK konstrukcija.</t>
  </si>
  <si>
    <t xml:space="preserve">U cijeni stavaka je uključeno bušenje - obrada ploča za potrebe ugradbe elemenata instalacija u završnim GK oblogama (utičnice, priključci i sl. ). </t>
  </si>
  <si>
    <r>
      <t>- čišćenje svakodnevno i po završenom radu</t>
    </r>
    <r>
      <rPr>
        <u/>
        <sz val="10"/>
        <rFont val="Calibri"/>
        <family val="2"/>
        <charset val="238"/>
        <scheme val="minor"/>
      </rPr>
      <t xml:space="preserve"> uključivo odvoz viška materijala na gradsku planirku </t>
    </r>
  </si>
  <si>
    <t>GIPS-KARTONSKI RADOVI - GRAĐEVINSKO-OBRTNIČKI RADOVI</t>
  </si>
  <si>
    <t>a/ montažni zidovi od gipskartonskih ploča</t>
  </si>
  <si>
    <t>b/ spušteni stropovi od gipskartonskih ploča</t>
  </si>
  <si>
    <t>c/ konstrukcija:</t>
  </si>
  <si>
    <t>d/ razred vatrootpornosti:</t>
  </si>
  <si>
    <t>13.2.</t>
  </si>
  <si>
    <t xml:space="preserve">Dobava i postavljanje pomoćnih gradilišnih objekata kao što su priručne WC kabine, u stavku uključiti postavljanje i kasnije uklanjanje, kontejnera za smještaj radnika dim 8 x 2,5m, kontejnera za manji sitni alat na gradilištu cca 6 x 2,5m. Montaža i demontaža gradilišne ograde s vratima. Izrada nanosne skele za budući objekt, razmjeravanje i kontrola mjera na terenu. Određivanje točnih visina  kao i drugi radovi koje je potrebno izvršiti. </t>
  </si>
  <si>
    <t xml:space="preserve">Obloga ugradbenih vodokotlića. Dobava materijala i izrada obloge ugradbenih vodokotlića. Jednostruka obloga od GK impregniranih ploča H213 debljine 12,5 mm, v=1,30 m na metalnoj podkonstrukciji d=50 mm. Obrada spojeva ploča u kvaliteti Q2 - Uniflott imregnirani. Prije postave keramike površinu iz GK ploča potrebno je premazati s Knauf Tiefengrung premazom. Svi spojevi kada kao završnu oblogu postavljamo impregniranu ploču obrada tih ploča se izvodi s Uniflott impregnirajućim sredstvom. </t>
  </si>
  <si>
    <t>8.2.</t>
  </si>
  <si>
    <t>11.10.</t>
  </si>
  <si>
    <t>11.11.</t>
  </si>
  <si>
    <t>9.7.</t>
  </si>
  <si>
    <t>Javna ustanova 
NP PLITVIČKA JEZERA</t>
  </si>
  <si>
    <t>Ines Vlahović d.i.g.</t>
  </si>
  <si>
    <t>Kristina Radelić d.i.a.</t>
  </si>
  <si>
    <t>TROŠKOVNIK RADOVA</t>
  </si>
  <si>
    <t>Prije izrade ponude izvođač je dužan obići i pregledati građevinu zbog ocjene njezinog građevinskog stanja, radova obuhvaćenih troškovnikom, uvjeta organizacije gradilišta, načina i mogućnosti pristupa građevini, mogućnosti zauzimanja javne površine.</t>
  </si>
  <si>
    <t>Sve stavke uključuju odvoz i skladištenje ili odvoz na gradski deponij. Sve stavke uključuju sav potrebni alat, materijal i pripomoćne skele, zaštitna sredstva - sve potrebno do gotovosti.</t>
  </si>
  <si>
    <r>
      <t>Kod izvođenja radova pri niskim temperaturama, vjetru, snijegu i sl., treba preduzeti odgovarajuće mjere. U svakom slučaju u beton treba dodavati dodatak protiv smrzavanja čim temperatura padne ispod +5</t>
    </r>
    <r>
      <rPr>
        <i/>
        <vertAlign val="superscript"/>
        <sz val="10"/>
        <rFont val="Calibri"/>
        <family val="2"/>
        <charset val="238"/>
        <scheme val="minor"/>
      </rPr>
      <t>o</t>
    </r>
    <r>
      <rPr>
        <i/>
        <sz val="10"/>
        <rFont val="Calibri"/>
        <family val="2"/>
        <charset val="238"/>
        <scheme val="minor"/>
      </rPr>
      <t>C. U slučaju još nižih temperatura treba poduzeti i druge mjere, kao grijanje vode, agregata, zagrijavanje i pokrivanaje ugrađene smjese u konstrukciji i radnog mjesta. Sve navedeno treba uračunati u jediničnu cijenu, ako nema posebne stavke troškovnika.</t>
    </r>
  </si>
  <si>
    <r>
      <t>Najviša temperatura svježeg betona koji se ne ugrađuje posebnim postupcima predviđenim za temperirane betone ne smije biti viša od +30</t>
    </r>
    <r>
      <rPr>
        <i/>
        <vertAlign val="superscript"/>
        <sz val="10"/>
        <rFont val="Calibri"/>
        <family val="2"/>
        <charset val="238"/>
        <scheme val="minor"/>
      </rPr>
      <t>o</t>
    </r>
    <r>
      <rPr>
        <i/>
        <sz val="10"/>
        <rFont val="Calibri"/>
        <family val="2"/>
        <charset val="238"/>
        <scheme val="minor"/>
      </rPr>
      <t>C.</t>
    </r>
  </si>
  <si>
    <t>3.1.</t>
  </si>
  <si>
    <t>Obračun po m2 izvedenog estriha.</t>
  </si>
  <si>
    <t xml:space="preserve">Izvedba armiranog cementnog estriha betonom C12/15, d=6(cm). Podloga se izvodi  na PE foliji iznad toplinske izolacije poda. Površina estriha mora biti ravna i zaglađena. U stavku je uključena i dobava i postava zaštitne PE folije debljine 0,2 mm, koja se polaže na toplinsku izolaciju.
U cijenu je uračunata sva potrebna armatura te eventualna oplata, kao i PE folija.
</t>
  </si>
  <si>
    <t>Obračun po m2 elestificiranog ekstrudiranog polistirena.</t>
  </si>
  <si>
    <t>Obračun po m2 otkopane obloge.</t>
  </si>
  <si>
    <t>- VKV radnik</t>
  </si>
  <si>
    <t>- KV radnik</t>
  </si>
  <si>
    <t>Zidarska obrada špaleta. Zidarski se obrađuju otvori prozora i vrata, neravnine i oštećenja, sa zapunjavanjem neravnih površina, krpanjem i izravnanjem reparaturnim mortom, te gletanjem cementnim mortom, debljine sloja do 0,5 cm.</t>
  </si>
  <si>
    <t>Obračun po m1 obrađene špalete.</t>
  </si>
  <si>
    <t xml:space="preserve">Vertikalna hidroizolacija nadtemeljnih zidova, hidroizolacijskom folijom kao iz prethodne stavke. </t>
  </si>
  <si>
    <t>Obračun po m2 izvedene horizontalne izolacije.</t>
  </si>
  <si>
    <t>Obračun po m2 izvedene vertikalne izolacije.</t>
  </si>
  <si>
    <t>Sve fasaderske radove izvesti prema pravilima struke i povoljnim klimatskim uvjetima.</t>
  </si>
  <si>
    <t>Obračun po m2 postavljene fasade.</t>
  </si>
  <si>
    <t>Dobava materijala i izvedba holkera fasade u visini do 30cm. Holker izvesti od polimerne žbuke d=2cm s prethodno nanesenim kompozitnim mortom armiranim staklenom mrežicom.</t>
  </si>
  <si>
    <t>Obračun po m2 za kompletan rad i materijal.</t>
  </si>
  <si>
    <t>VANJSKA STOLARIJA</t>
  </si>
  <si>
    <t>UNUTARNJA STOLARIJA</t>
  </si>
  <si>
    <t>PREGRADE U SANITARIJAMA</t>
  </si>
  <si>
    <t>Obračun po kompletu specificirano po dimenzijama. WC muški</t>
  </si>
  <si>
    <t>Obračun po kompletu specificirano po dimenzijama. WC ženski</t>
  </si>
  <si>
    <t>495×45cm (5 umivaonika)</t>
  </si>
  <si>
    <t>440×45cm (5 umivaonika)</t>
  </si>
  <si>
    <t>ULAZ 1 "SLAP" - RASTOVAČA</t>
  </si>
  <si>
    <t>ZGRADA 1 - info centar, mjenjačnica, sanitarije, restoran "Slap"</t>
  </si>
  <si>
    <t>Demontaža postojeće fasadne obloge. Uključuje sav potreban pribor za demontažu postojeće fasadne obloge uključivo utovar i odvoz materijala na deponij.</t>
  </si>
  <si>
    <t>Obračun po m2 demontirane fasadne obloge.</t>
  </si>
  <si>
    <t>1.4.</t>
  </si>
  <si>
    <t>2.3.</t>
  </si>
  <si>
    <t>Obračun  po  m3 zbijenog materijala.</t>
  </si>
  <si>
    <t>Dobava, razastiranje i zbijanje tamponskog  sloja šljunka u sloju debljine 60 cm  ispod betonske ploče oko objekta. Sloj treba biti zbijen do stupnja ispitane zbijenosti izražen kao modul stišljivosti Mv = 10 MPa i isplaniran na 2 cm točnosti.</t>
  </si>
  <si>
    <t xml:space="preserve">Kombinirani strojni i ručni iskop materijala do temeljnih traka dubine cca 80cm u širini 50cm oko objekta.  U cijenu uključiti utovar i odvoz iskopanog materijala na deponiju.  </t>
  </si>
  <si>
    <t>c) armatura</t>
  </si>
  <si>
    <t>Obračun za kompletan rad, materijal po m3 ugrađenog betona, po m2 ugrađene oplate i kg armature.</t>
  </si>
  <si>
    <t xml:space="preserve">Zidanje vanjskih zidova saćastom i šupljom opekom  d=25(cm) u cementnom mortu M-10. Dobava materijala i izvedba zida kao i potrebne radne skele u cijeni. Visina zida 270 cm. U zidu ostaviti pri zidanju potrebne otvore za prolaz instalacija. </t>
  </si>
  <si>
    <t xml:space="preserve">Zidanje vanjskih zidova saćastom i šupljom opekom  d=15(cm) u cementnom mortu M-10. Dobava materijala i izvedba zida kao i potrebne radne skele u cijeni. Visina zida 270 cm. U zidu ostaviti pri zidanju potrebne otvore za prolaz instalacija. </t>
  </si>
  <si>
    <t>Obračun po m1 proširenog otvora.</t>
  </si>
  <si>
    <t>4.3.</t>
  </si>
  <si>
    <t>Obračun po m2 ožbukanog zida.</t>
  </si>
  <si>
    <t>Grubo i fino žbukanje  zidova produžnom žbukom uz prethodno nanošenje cementnog šprica. Žbuku nanositi u debljini 2-3 cm.</t>
  </si>
  <si>
    <t>4.4.</t>
  </si>
  <si>
    <t>Dobava i postava elastificiranog ekstrudiranog polistirena XPS d=12(cm)  vertikalno uz nadtemeljne zidove.</t>
  </si>
  <si>
    <t>4.8.</t>
  </si>
  <si>
    <t>4.9.</t>
  </si>
  <si>
    <t>4.10.</t>
  </si>
  <si>
    <t>Dobava materijala i izvedba fasadne obloge vanjskog podgleda oko objekta.</t>
  </si>
  <si>
    <t>6.4.</t>
  </si>
  <si>
    <t>STAKLENA PREGRADA</t>
  </si>
  <si>
    <t>Obračun po m2 montirane pregrade.</t>
  </si>
  <si>
    <t>5.3.</t>
  </si>
  <si>
    <t>Obračun po m2 izvedene izolacije</t>
  </si>
  <si>
    <t>KROVOPOKRIVAČKI RADOVI</t>
  </si>
  <si>
    <t>-letve 3/5cm</t>
  </si>
  <si>
    <t>Obračun po m2 izvedenog krova.</t>
  </si>
  <si>
    <t>Obračun po m2 demontirane plohe krova.</t>
  </si>
  <si>
    <t>1.5.</t>
  </si>
  <si>
    <t>1.6.</t>
  </si>
  <si>
    <t>-</t>
  </si>
  <si>
    <t>OBJEKT</t>
  </si>
  <si>
    <t>BR. PROSTORA</t>
  </si>
  <si>
    <t>PROSTOR NOVO</t>
  </si>
  <si>
    <t>PROSTOR STARO</t>
  </si>
  <si>
    <t>POVRŠINA</t>
  </si>
  <si>
    <t>PODNA OBLOGA</t>
  </si>
  <si>
    <t>RUŠI SE</t>
  </si>
  <si>
    <t>NOVO</t>
  </si>
  <si>
    <t>H0</t>
  </si>
  <si>
    <t>H1</t>
  </si>
  <si>
    <t>ZIDOVI</t>
  </si>
  <si>
    <t xml:space="preserve">ISKOP </t>
  </si>
  <si>
    <t>KAMENA OBLOGA + BET.PODLOGA</t>
  </si>
  <si>
    <t>PODOVI</t>
  </si>
  <si>
    <t>STROPOVI</t>
  </si>
  <si>
    <t>KROV</t>
  </si>
  <si>
    <t>FASADA</t>
  </si>
  <si>
    <t>tip</t>
  </si>
  <si>
    <t>m</t>
  </si>
  <si>
    <t>GLAZURA</t>
  </si>
  <si>
    <t>PODNA KERAMIKA</t>
  </si>
  <si>
    <t>SOKL PODNA KERAMIKA</t>
  </si>
  <si>
    <t>ZIDNA KERAMIKA</t>
  </si>
  <si>
    <t>PREGRADA 5 i 7cm</t>
  </si>
  <si>
    <t>ZID 25cm</t>
  </si>
  <si>
    <t>ZID 15cm</t>
  </si>
  <si>
    <t>FASADNA OBLOGA</t>
  </si>
  <si>
    <t>KROVNA OBLOGA</t>
  </si>
  <si>
    <t>VANJSKA STAKLENA FASADA</t>
  </si>
  <si>
    <t>VANJSKA VRATA I PROZORI</t>
  </si>
  <si>
    <t>UNUTARNJA VRATA</t>
  </si>
  <si>
    <t>UNUTARNJI STOLARSKI ELEMENTI</t>
  </si>
  <si>
    <t>SANITARNI ELEMENTI</t>
  </si>
  <si>
    <t>PREGRADE SANITARIJA 7cm</t>
  </si>
  <si>
    <t>PROŠIRENJE OTVORA NA FASADI</t>
  </si>
  <si>
    <t>OKO OBJEKTA</t>
  </si>
  <si>
    <t>UKLANJ. OBLOGE OKO OBJEKTA</t>
  </si>
  <si>
    <t>CEMENTNA GLAZURA 6cm</t>
  </si>
  <si>
    <t>HIDROIZOLACIJA</t>
  </si>
  <si>
    <t>XPS 12cm</t>
  </si>
  <si>
    <t>KER.PL.
SANITARIJE</t>
  </si>
  <si>
    <t>KER.PL.
RESTORAN</t>
  </si>
  <si>
    <t>KER.PL.
RESTORAN
SOKL</t>
  </si>
  <si>
    <t>KER.PL.
KUHINJA</t>
  </si>
  <si>
    <t>KER.PL.
KUHINJA SOKL</t>
  </si>
  <si>
    <t>KER.PL.
OSTALI PROSTORI</t>
  </si>
  <si>
    <t>KER.PL.
OSTALI PROSTORI SOKL</t>
  </si>
  <si>
    <t>PARKET</t>
  </si>
  <si>
    <t>TEKST.P.OB.</t>
  </si>
  <si>
    <t>XPS 12cm
u tlu VERT</t>
  </si>
  <si>
    <t>HI u tlu VERT.</t>
  </si>
  <si>
    <t>ZIDOVI 25cm</t>
  </si>
  <si>
    <t>ZIDOVI 15cm</t>
  </si>
  <si>
    <t>ŽBUKANJE</t>
  </si>
  <si>
    <t>ZIDOVI 12cm</t>
  </si>
  <si>
    <t>ZIDOVI 10cm</t>
  </si>
  <si>
    <t>STAKLENA PREGRADA 10cm</t>
  </si>
  <si>
    <t>KER.PL.
SANITARIJE
ZID</t>
  </si>
  <si>
    <t>KER.PL.
KUHINJA ZID</t>
  </si>
  <si>
    <t>BOJANJE 
GK</t>
  </si>
  <si>
    <t>BOJANJE 
POSTOJEĆI ZID</t>
  </si>
  <si>
    <t>OBLOGA RESTORAN
SJEDENJE</t>
  </si>
  <si>
    <t>OBLOGA RESTORAN
POSL.HRANE</t>
  </si>
  <si>
    <t>SAN.PREGRADA</t>
  </si>
  <si>
    <t>SAN.OPREMA</t>
  </si>
  <si>
    <t>DRVENA OBLOGA 1,5cm</t>
  </si>
  <si>
    <t>MIN.VUNA + FILC + PE FOLIJA</t>
  </si>
  <si>
    <t>ZGRADA 1</t>
  </si>
  <si>
    <t>RESTORAN</t>
  </si>
  <si>
    <t>ker.pl.</t>
  </si>
  <si>
    <t>SPREMIŠTE</t>
  </si>
  <si>
    <t>PKP</t>
  </si>
  <si>
    <t>70×60*1, 100×60×1, 90×210×1</t>
  </si>
  <si>
    <t>75×200×1</t>
  </si>
  <si>
    <t>75×200</t>
  </si>
  <si>
    <t>90×210, 70×60, 100×60</t>
  </si>
  <si>
    <t>WC OSOBLJE</t>
  </si>
  <si>
    <t>140×130×1</t>
  </si>
  <si>
    <t>100×200×1</t>
  </si>
  <si>
    <t>100×200</t>
  </si>
  <si>
    <t>140×130</t>
  </si>
  <si>
    <t>KUHINJA</t>
  </si>
  <si>
    <t>140×130×2</t>
  </si>
  <si>
    <t>KUH.ELEMENTI</t>
  </si>
  <si>
    <t>STROJARNICA</t>
  </si>
  <si>
    <t>100×100×1, 100×200×1</t>
  </si>
  <si>
    <t>WC MUŠKI</t>
  </si>
  <si>
    <t>WC ŽENSKI</t>
  </si>
  <si>
    <t>430×70×1, 100×200×1</t>
  </si>
  <si>
    <t>pult sa 5 umivaonika, 8 wc školjki</t>
  </si>
  <si>
    <t xml:space="preserve">5 umivaonika s pultom 8 wc školjke </t>
  </si>
  <si>
    <t>340×70×1, 105×70×1, 100×200×1</t>
  </si>
  <si>
    <t>pult sa 5 umivaonika, 3 wc školjki, 6 pisoara</t>
  </si>
  <si>
    <t>6 umivaonika s pultom 4 wc školjke 7 pisoara</t>
  </si>
  <si>
    <t>100×200 340×70 100×60</t>
  </si>
  <si>
    <t>WC INVALIDI</t>
  </si>
  <si>
    <t>45×60×1, 100×200×1</t>
  </si>
  <si>
    <t>1 umivaonik, 1 wc školjka</t>
  </si>
  <si>
    <t>1 umivaonik 1 wc školjka</t>
  </si>
  <si>
    <t>MJENJAČNICA</t>
  </si>
  <si>
    <t xml:space="preserve">100×200 115×140 </t>
  </si>
  <si>
    <t>INFO + MJENJAČNICA</t>
  </si>
  <si>
    <t>70×60×1</t>
  </si>
  <si>
    <t>INFO PULT</t>
  </si>
  <si>
    <t>75×210</t>
  </si>
  <si>
    <t>INFO CENTAR</t>
  </si>
  <si>
    <t>175×200 70×140×2 225×140×2</t>
  </si>
  <si>
    <t>UKUPNO ZGRADA 1</t>
  </si>
  <si>
    <t>ZGRADA 2</t>
  </si>
  <si>
    <t>PRODAJA KARATA - POJEDINAČNO</t>
  </si>
  <si>
    <t>parket</t>
  </si>
  <si>
    <t>PRODAJA KARATA - GRUPE</t>
  </si>
  <si>
    <t>URED</t>
  </si>
  <si>
    <t>HODNIK</t>
  </si>
  <si>
    <t>KONTROLORI</t>
  </si>
  <si>
    <t>ULAZ ZA DVORANU</t>
  </si>
  <si>
    <t>ULAZ ZA TAVAN</t>
  </si>
  <si>
    <t>ČAJNA KUHINJA</t>
  </si>
  <si>
    <t>WC OSOBLJE M</t>
  </si>
  <si>
    <t>WC OSOBLJE Ž</t>
  </si>
  <si>
    <t>PREDPROSTOR</t>
  </si>
  <si>
    <t>tekst.pod.obl.</t>
  </si>
  <si>
    <t>UKUPNO ZGRADA 2</t>
  </si>
  <si>
    <t>Fasada Z1, Krov 1</t>
  </si>
  <si>
    <t>Uklanjanje postojećih slojeva poda: glazura i keramika do sloja hidroizolacije.</t>
  </si>
  <si>
    <t>Obračun po m2 uklonjene površine.</t>
  </si>
  <si>
    <t>1.7.</t>
  </si>
  <si>
    <t>Skidanje keramike sa zidova.</t>
  </si>
  <si>
    <t>Skidanje sokla keramike sa zidova.</t>
  </si>
  <si>
    <t>1.8.</t>
  </si>
  <si>
    <t>Obračun po m1 uklonjene površine.</t>
  </si>
  <si>
    <t>1.9.</t>
  </si>
  <si>
    <t>Obračun po m3 uklonjene površine.</t>
  </si>
  <si>
    <t>1.10.</t>
  </si>
  <si>
    <t>1.11.</t>
  </si>
  <si>
    <t>Demontaža vanjske staklene stolarije, restoran i mjenjačnica.</t>
  </si>
  <si>
    <t>1.12.</t>
  </si>
  <si>
    <t>prozor 70×60cm</t>
  </si>
  <si>
    <t>Obračun po kom uklonjenog elementa.</t>
  </si>
  <si>
    <t>prozor 100×60cm</t>
  </si>
  <si>
    <t>prozor 140×130cm</t>
  </si>
  <si>
    <t>prozor 100×100cm</t>
  </si>
  <si>
    <t>prozor 430×70cm</t>
  </si>
  <si>
    <t>prozor 340×70cm</t>
  </si>
  <si>
    <t>prozor 105×70cm</t>
  </si>
  <si>
    <t>prozor 45×60cm</t>
  </si>
  <si>
    <t>vrata 100×200cm</t>
  </si>
  <si>
    <t>vrata 90×210cm</t>
  </si>
  <si>
    <t>1.13.</t>
  </si>
  <si>
    <t>Uklanjanje vanjskih vrata i prozora.</t>
  </si>
  <si>
    <t>vrata 75×200</t>
  </si>
  <si>
    <t>vrata 100×200</t>
  </si>
  <si>
    <t>Uklanjanje elemenata i uređaja kuhinje.</t>
  </si>
  <si>
    <t>Obračun po kompletu uklonjenih elemenata.</t>
  </si>
  <si>
    <t>1.14.</t>
  </si>
  <si>
    <t>1.15.</t>
  </si>
  <si>
    <t>1.16.</t>
  </si>
  <si>
    <t>pult sa 5 umivaonika</t>
  </si>
  <si>
    <t>wc školjka</t>
  </si>
  <si>
    <t xml:space="preserve">kom </t>
  </si>
  <si>
    <t>pisoar</t>
  </si>
  <si>
    <t>Uklanjanje sanitarnih elemenata i pribora u sanitarijama.</t>
  </si>
  <si>
    <t>pult sa 1 umivaonik</t>
  </si>
  <si>
    <t>Uklanjenje pregrada s vratima u sanitarijama.</t>
  </si>
  <si>
    <t>Obračun po m2 uklonjenje površine.</t>
  </si>
  <si>
    <t>1.17.</t>
  </si>
  <si>
    <t>1.18.</t>
  </si>
  <si>
    <t>1.19.</t>
  </si>
  <si>
    <t>TAMPON</t>
  </si>
  <si>
    <t>BET.PLOČA 20cm</t>
  </si>
  <si>
    <t>GLETANJE ZIDOVA prije nove keramike</t>
  </si>
  <si>
    <t>Obračun po m2 ogletanog zida.</t>
  </si>
  <si>
    <t>XPS 12cm
U TLU i HOLKER</t>
  </si>
  <si>
    <t>SOKL 20cm</t>
  </si>
  <si>
    <t>GK obloga stropa 1,5cm</t>
  </si>
  <si>
    <t>5.4.</t>
  </si>
  <si>
    <t>POKROV</t>
  </si>
  <si>
    <t>MIN.VUNA+FILC 10cm + MIN.VUNA 10cm+ PE FOLIJA</t>
  </si>
  <si>
    <t>VENT. FASADA</t>
  </si>
  <si>
    <t>PODGLED</t>
  </si>
  <si>
    <t>SKELA</t>
  </si>
  <si>
    <t>8.3.</t>
  </si>
  <si>
    <t>obloga VODOKOTLIĆA</t>
  </si>
  <si>
    <t>8.4.</t>
  </si>
  <si>
    <t>8.5.</t>
  </si>
  <si>
    <t>8.6.</t>
  </si>
  <si>
    <t>9.4.</t>
  </si>
  <si>
    <t>9.5.</t>
  </si>
  <si>
    <t>9.6.</t>
  </si>
  <si>
    <t>9.8.</t>
  </si>
  <si>
    <t>9.9.</t>
  </si>
  <si>
    <t>9.10.</t>
  </si>
  <si>
    <t>9.11.</t>
  </si>
  <si>
    <t>9.12.</t>
  </si>
  <si>
    <t>9.13.</t>
  </si>
  <si>
    <t>9.14.</t>
  </si>
  <si>
    <t>9.15.</t>
  </si>
  <si>
    <t>9.16.</t>
  </si>
  <si>
    <t>9.17.</t>
  </si>
  <si>
    <t>9.18.</t>
  </si>
  <si>
    <t>9.19.</t>
  </si>
  <si>
    <t>9.20.</t>
  </si>
  <si>
    <t>9.21.</t>
  </si>
  <si>
    <t>9.22.</t>
  </si>
  <si>
    <t>9.23.</t>
  </si>
  <si>
    <t>9.24.</t>
  </si>
  <si>
    <t>9.25.</t>
  </si>
  <si>
    <t xml:space="preserve">Dobava i ugradnja ravne stijene izrađene od max compact ploča debljine 70 mm u sanitarijama. Stijena ukupne visine 205 cm, izdignuto od poda za 15 cm na nogama od nehrđajućeg čelika, širine 160 cm. Stijena bočno fiksirana u zidove obložene keramikom. Predvidjeti sve komplet ugrađeno, pregradna stijena, nosive i spojne elemente. Površina otporna na mehanička oštećenja i laka za održavanje (otporna na vodu i kemijska sredstva za održavanje). Boju max compact ploče određuje projektant
</t>
  </si>
  <si>
    <t>9.26.</t>
  </si>
  <si>
    <t>9.28.</t>
  </si>
  <si>
    <t>Obračun po m1.</t>
  </si>
  <si>
    <t>11.6.</t>
  </si>
  <si>
    <t>11.7.</t>
  </si>
  <si>
    <t>11.8.</t>
  </si>
  <si>
    <t>11.9.</t>
  </si>
  <si>
    <t>kutni profil za KERAMIKU</t>
  </si>
  <si>
    <t>KAMEN OPLOČENJE</t>
  </si>
  <si>
    <t>KERAMIKA OPLOČENJE</t>
  </si>
  <si>
    <t>10.2.</t>
  </si>
  <si>
    <t>GRAĐEVINSKO OBRTNIČKI RADOVI - ZGRADA 1</t>
  </si>
  <si>
    <t>A1</t>
  </si>
  <si>
    <t>A2</t>
  </si>
  <si>
    <t>PRODAJA KARATA</t>
  </si>
  <si>
    <t>ULAZNI PROSTOR</t>
  </si>
  <si>
    <t>DVORANA</t>
  </si>
  <si>
    <t>SKLADIŠTE</t>
  </si>
  <si>
    <t>TAPISON</t>
  </si>
  <si>
    <t>ZID 10cm</t>
  </si>
  <si>
    <t>80×200</t>
  </si>
  <si>
    <t>80×200×2</t>
  </si>
  <si>
    <t>STEPENICE NA TAVAN</t>
  </si>
  <si>
    <t>265×250</t>
  </si>
  <si>
    <t>350×150</t>
  </si>
  <si>
    <t>2×350×150</t>
  </si>
  <si>
    <t>375×250, 350×150</t>
  </si>
  <si>
    <t>145×200</t>
  </si>
  <si>
    <t>90×200</t>
  </si>
  <si>
    <t>4×80×70, 150×200</t>
  </si>
  <si>
    <t>Fasada Z2, Krov 2</t>
  </si>
  <si>
    <t>STEPENICE</t>
  </si>
  <si>
    <t>TAVAN</t>
  </si>
  <si>
    <t>?</t>
  </si>
  <si>
    <t>UKUPNO ZGRADA 2+TAVAN</t>
  </si>
  <si>
    <t>550×150, 375×150</t>
  </si>
  <si>
    <t>100×250, 250×150</t>
  </si>
  <si>
    <t>PREGDADA 5cm</t>
  </si>
  <si>
    <t>100×250, 350×150</t>
  </si>
  <si>
    <t>70×200×2</t>
  </si>
  <si>
    <t>90×200×2, 80×200</t>
  </si>
  <si>
    <t>110×250</t>
  </si>
  <si>
    <t>110×215×2, 80×70×4</t>
  </si>
  <si>
    <t>Uklanjanje postojećih slojeva poda: glazura i tapison do sloja hidroizolacije.</t>
  </si>
  <si>
    <t>Demontaža vanjske staklene stolarije.</t>
  </si>
  <si>
    <t>prozor 80×70cm</t>
  </si>
  <si>
    <t>vrata 150×200cm</t>
  </si>
  <si>
    <t>vrata 80×200</t>
  </si>
  <si>
    <t>Uklanjanje stepenica prema tavanu.</t>
  </si>
  <si>
    <t>vrata 90×200</t>
  </si>
  <si>
    <t>vrata 145×200</t>
  </si>
  <si>
    <t>vrata 265×250</t>
  </si>
  <si>
    <t>Obračun po kompletu montiranih stepenica.</t>
  </si>
  <si>
    <t>Obračun po m1 izvedenog holkera.</t>
  </si>
  <si>
    <t>3.2.</t>
  </si>
  <si>
    <t>8.7.</t>
  </si>
  <si>
    <t>PODOPOLAGAČKI</t>
  </si>
  <si>
    <t>PODOPOLAGAČKI RADOVI</t>
  </si>
  <si>
    <t>14.1.</t>
  </si>
  <si>
    <t>14.2.</t>
  </si>
  <si>
    <t>Demontaža svih slojeva krova do nosive konstrukcije.</t>
  </si>
  <si>
    <t xml:space="preserve">Dobava i postava polietilenske folija (50 kg/m³) polagane s preklopima, sloj za prigušenje topota s ΔLw &gt; 20 dB            </t>
  </si>
  <si>
    <t>Dobava i postava elastificiranog ekstrudiranog polistirena  XPS d=12(cm) u plivajućim podovima P1, P2 i P3, ekstrudirani polistiren XPS 300, ploče s rubnim preklopima (30 kg/m³) s λ &lt; 0.033 W/mK, uključeno podizanje uza zid.</t>
  </si>
  <si>
    <t>Obračun po m2 polietilenske folije.</t>
  </si>
  <si>
    <t xml:space="preserve">Izvesti polimerbitumenske trake za zavarivanje u dva sloja 2 x V4 na hladnom bitumenskom prednamazu po tehnologiji i detaljima odabranog proizvođača, koristeći isključivo tehnologijom predviđene materijale i alate. U cijeni su svi potrebni odgovarajući holkeri za vertikalno povijanje izolacije, komplet slojevi sa svim potrebnim obradama kod prodora, dilatacionih i rubnih detalja. Izvesti prema uputama proizvođača. </t>
  </si>
  <si>
    <t>Izrada zaštitne obloge toplinske izolacije u tlu 90cm  (holker) od čepaste folije proizvod kao Tefond.</t>
  </si>
  <si>
    <t xml:space="preserve">Montaža, amortizacija i demontaža fasadne skele za izvedbu radova na fasadi od tipskih čeličnih elemenata (ili bešavnih cijevi) i mosnica u skladu s propisima i zakonom zaštite sigurnosti na radu, podova, ograda s ukrućenjem i učvršćenjem. Visina skele do 4,5 m. Izvođač radova treba prije izvedbe skele napraviti projekt skele sa statičkim proračunom, kako bi se osigurala sigurnost radnika i prolaznika. </t>
  </si>
  <si>
    <t>-kišna brana paropropusna i vodonepropusna folija 0,1cm</t>
  </si>
  <si>
    <t>-gredice 10/10cm poprečno na rogove s ispunom od kamena vuna u pločama 10cm 0,036W/mK i PE folija 0,02cm (izolacija je predmet poglavlja izolaterski radovi)</t>
  </si>
  <si>
    <t>-kamena vuna u tvrdim pločama 10cm 0,036W/mK (izolacija je predmet poglavlja izolaterski radovi)</t>
  </si>
  <si>
    <t>ostakljenje s trostrukim IZO-staklom sa dvije low-E pozicije i s ispunom toplinski inertnim plinom,</t>
  </si>
  <si>
    <r>
      <t xml:space="preserve">debljina ostakljenja </t>
    </r>
    <r>
      <rPr>
        <sz val="10"/>
        <rFont val="Symbol"/>
        <family val="1"/>
        <charset val="2"/>
      </rPr>
      <t>³</t>
    </r>
    <r>
      <rPr>
        <sz val="10"/>
        <rFont val="Arial Narrow"/>
        <family val="2"/>
        <charset val="238"/>
      </rPr>
      <t xml:space="preserve"> 6+16+4+12+4 mm</t>
    </r>
  </si>
  <si>
    <r>
      <t>U</t>
    </r>
    <r>
      <rPr>
        <b/>
        <vertAlign val="subscript"/>
        <sz val="10"/>
        <rFont val="Arial Narrow"/>
        <family val="2"/>
        <charset val="238"/>
      </rPr>
      <t>g</t>
    </r>
    <r>
      <rPr>
        <b/>
        <sz val="10"/>
        <rFont val="Arial Narrow"/>
        <family val="2"/>
        <charset val="238"/>
      </rPr>
      <t xml:space="preserve"> &lt; 0,90 W/m²K</t>
    </r>
    <r>
      <rPr>
        <sz val="10"/>
        <rFont val="Arial Narrow"/>
        <family val="2"/>
        <charset val="238"/>
      </rPr>
      <t xml:space="preserve">,   </t>
    </r>
    <r>
      <rPr>
        <b/>
        <sz val="10"/>
        <rFont val="Arial Narrow"/>
        <family val="2"/>
        <charset val="238"/>
      </rPr>
      <t>g</t>
    </r>
    <r>
      <rPr>
        <b/>
        <vertAlign val="subscript"/>
        <sz val="10"/>
        <rFont val="Symbol"/>
        <family val="1"/>
        <charset val="2"/>
      </rPr>
      <t>^</t>
    </r>
    <r>
      <rPr>
        <b/>
        <sz val="10"/>
        <rFont val="Arial Narrow"/>
        <family val="2"/>
        <charset val="238"/>
      </rPr>
      <t xml:space="preserve"> &lt; 0,5</t>
    </r>
    <r>
      <rPr>
        <sz val="10"/>
        <rFont val="Arial Narrow"/>
        <family val="2"/>
        <charset val="238"/>
      </rPr>
      <t xml:space="preserve">; </t>
    </r>
  </si>
  <si>
    <t xml:space="preserve">Izrada, doprema i ugradnja pulta s umivaonicima pravokutnog oblika od visokokvalitetnog Solid surface materijala, 12 mm, kao Kerrok završne obrade prema odabiru projektanta, sve pripremljeno za montažu umivaonika. </t>
  </si>
  <si>
    <t>materijal - pločice</t>
  </si>
  <si>
    <t>Dobava materijala i izvedba sokla u spremištu. Obračun po m1.</t>
  </si>
  <si>
    <t>Dobava i ugradnja aluminijskog kutnog profila na vanjskim kutevima zidova koji se oblažu keramičkim pločicama.</t>
  </si>
  <si>
    <t>zrakopropusnost otvora klase 4</t>
  </si>
  <si>
    <r>
      <t xml:space="preserve">zvučna izolacija ugrađenih otvora </t>
    </r>
    <r>
      <rPr>
        <b/>
        <sz val="10"/>
        <rFont val="Arial Narrow"/>
        <family val="2"/>
        <charset val="238"/>
      </rPr>
      <t>R'w &gt; 38</t>
    </r>
  </si>
  <si>
    <t>ukupni prolaz topline cijelog otvora od najviše</t>
  </si>
  <si>
    <r>
      <t>U</t>
    </r>
    <r>
      <rPr>
        <b/>
        <vertAlign val="subscript"/>
        <sz val="10"/>
        <rFont val="Arial Narrow"/>
        <family val="2"/>
        <charset val="238"/>
      </rPr>
      <t>w,sr</t>
    </r>
    <r>
      <rPr>
        <b/>
        <sz val="10"/>
        <rFont val="Arial Narrow"/>
        <family val="2"/>
        <charset val="238"/>
      </rPr>
      <t xml:space="preserve"> ≤ 1,20 W/m²K</t>
    </r>
  </si>
  <si>
    <t>4.12.</t>
  </si>
  <si>
    <t>Gletanje zidova nakon skidanja stare keramike, a prije postavljanja nove.</t>
  </si>
  <si>
    <t>Obračun po m2 izvedenih slojeva.</t>
  </si>
  <si>
    <t xml:space="preserve">Montaža, amortizacija i demontaža fasadne skele za izvedbu radova na fasadi od tipskih čeličnih elemenata (ili bešavnih cijevi) i mosnica u skladu s propisima i zakonom zaštite sigurnosti na radu, podova, ograda s ukrućenjem i učvršćenjem. Visina skele do 4,5 m. Izvođač radova treba prije izvedbe skele napraviti projekat skele sa statičkim proračunom, kako bi se osigurala sigurnost radnika i prolaznika. </t>
  </si>
  <si>
    <t>Dobava potrebnog materijala i izvedba gipskartonskih pregradnih zidova d=10cm. Obostrano dvostruka obloga gipskartonskim pločama, vanjska vlagootporna, ako se radi o mokrim prostorima, spojevi ploča bandažirani i gletani površina impregnirana prije lijepljenja pločica potkonstrukcija od CW75 profila s mineralnom vunom za ispune potkonstrukcija (15-50 kg/m³) debljine 6 cm.</t>
  </si>
  <si>
    <t>Prozori i ostakljena vrata, drveni okviri s trostrukim IZO ostakljenjem, Uf,sr ≤ 1,60 W/m²K, za učešće okvira do 30% (FF &gt; 0,70) uključujući ψ linijske gubitke topline</t>
  </si>
  <si>
    <t xml:space="preserve">otvori s dvije kontinuirane brtve na spoju krila i doprozornika, ugradnja otvora po RAL principima ugradnje, </t>
  </si>
  <si>
    <t>Vrata trebaju osigurati zvučnu zaštitu Rw = 30 – 34 dB.</t>
  </si>
  <si>
    <t>Sve stavke uključuju kompletan okov, kromirane kvake s odvojenim štitnikom za bravu  i podne odbojnike.</t>
  </si>
  <si>
    <t>Izvoditelj ima obvezu izraditi karakteristične detalje u mjerilu 1 : 1 i uz uzorak profila dostaviti ih projektantu na ovjeru.</t>
  </si>
  <si>
    <t>Jedinična cijena uključuje sve potrebno za kompletno dovršenje stavke.</t>
  </si>
  <si>
    <t>5.5.</t>
  </si>
  <si>
    <t>7.1.</t>
  </si>
  <si>
    <t>Silikoniranje spojeva silikonskim kitom na spojevima vertikalnih i horizontalnih ploha u mokrim prostorijama. Obračun po m'.</t>
  </si>
  <si>
    <t>Obračun po kompletu uklonjenih stepenica. Stepenice se sastoje od 15 stuba i podesta širine 105 cm.</t>
  </si>
  <si>
    <t>8.8.</t>
  </si>
  <si>
    <t>Dobava i ugradnja tipskih kazeta za klizna vrata. Ugradnja u zid CW75/100. Uključen sav potreban materijal i rad. Obračun po komadu.</t>
  </si>
  <si>
    <t>vrata dim 80*200cm</t>
  </si>
  <si>
    <t>vrata dim 75*200cm</t>
  </si>
  <si>
    <t>Uklanjanje elemenata i uređaja restorana, drvene podne obloge, šanka, svih drvenih obloga.</t>
  </si>
  <si>
    <t>Obračun po kompletu uklonjenog.</t>
  </si>
  <si>
    <t>Uklanjanje postojećih gipskartonskih obloga.</t>
  </si>
  <si>
    <t>Demontaža svih slojeva krova do nosive konstrukcije, uključivo podgled, zaštitne mrežice i sl.</t>
  </si>
  <si>
    <t>Gletanje zidova nakon skidanja starih obloga, a prije postavljanja nove obloge.</t>
  </si>
  <si>
    <t>Obračun po m2 izvedene izolacije.</t>
  </si>
  <si>
    <t>Dobava potrebnog materijala i izvedba gipskartonskih pregradnih zidova d=10cm. Obostrano dvostruka obloga gipskartonskim pločama, vanjska vlagootporna, ako se radi o mokrim prostorima, spojevi ploča bandažirani i gletani površina impregnirana prije lijepljenja pločica, potkonstrukcija od CW75 profila s mineralnom vunom za ispune potkonstrukcija (15-50 kg/m³) debljine 6 cm.</t>
  </si>
  <si>
    <t xml:space="preserve">Dobava materijala i izvedba vertikalne hidroizolacije nadtemeljnih zidova, hidroizolacijskom folijom kao iz prethodne stavke. </t>
  </si>
  <si>
    <t>Dobava materijala i izvedba hidroizolacije sanitarija  podova i zidova premazom Sika ili Mapei na izvedeni estrih s izvedbom holkera. Obrada se izvodi premazom u dva sloja debljine 1 mm + armirna mrežica od alkalno otpornih staklenih vlakana uz obradu horizontalnih i vertikalnih spojeva trakom za brtvljenje, kutne elemente i manžete. Trake se međusobno lijepe ljepilom. Sve komplet uključeno u cijenu. Hidroizolaciju izvesti vertikalno uz zidove do visine 30 cm, a u zoni tuša vertikalno 150 do 200 cm. Prije nanošenja potpuno odstraniti sve nevezane dijelove na tretiranim površinama kao i sve dijelove sa slabim mehaničkim karakteristikama. Čišćenje površine izvodi se pjeskarenjem, pranjem pod visokim pritiskom vode, četkanjem žičanim četkama itd. da bi se odstranile naslage prašine, tragovi stare boje, masne mrlje, hrđa, ostaci premaza za odvajanje oplate i cementna skrama - sve dok se ne dobije čista, kompaktna i neoštećena podloga. Sve neravnine i šupljine popraviti izravnavajućim mortom.</t>
  </si>
  <si>
    <t>4.13.</t>
  </si>
  <si>
    <t>Izvedba sokla u prostorima iz prethodne stavke.</t>
  </si>
  <si>
    <t>rad - postavljenje podnih pločica + vezni materijal i fug masa</t>
  </si>
  <si>
    <t>rad - postavljenje sokla + vezni materijal i fug masa</t>
  </si>
  <si>
    <t>Sve stavke uključuju odvoz i skladištenje ili odvoz na gradski deponij te čišćenje prostora nakon rušenja i demontaže. Sve stavke uključuju sav potrebni alat, materijal i pripomoćne skele, zaštitna sredstva - sve potrebno do gotovosti. Rad se treba obavljati pažljivo - posebnu pozornost treba obratiti zaštiti građevine od eventualnog nekontroliranog pada dijelova koji se ruše, ali i drugih mogućih oštećenja konstukcija koje se zadržavaju.</t>
  </si>
  <si>
    <t>Sve stavke uključuju odvoz i skladištenje ili odvoz na gradski deponij te čišćenje prostora nakon rušenja i demontaže. Sve stavke uključuju sav potrebni alat, materijal i pripomoćne skele, zaštitna sredstva - sve potrebno do gotovosti. Rad se treba obavljati pažljivo - posebnu pozornost treba obratiti zaštiti građevine od eventualnog nekontroliranog pada
dijelova koji se ruše, ali i drugih mogućih oštećenja konstukcija koje se zadržavaju.</t>
  </si>
  <si>
    <t>prema odabiru projektanta postavljaju se u/na sloj tucanika.</t>
  </si>
  <si>
    <t>Obračun po m2 dobavljene i postavljene ploče.</t>
  </si>
  <si>
    <t>Dobava materijala i izvedba opločenja zidova u kuhinji keramičkim zidnim pločicama do visine 249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Pločice po izboru projektanta, I. klase, širina fuge 2 mm.</t>
  </si>
  <si>
    <t>1.20.</t>
  </si>
  <si>
    <t>Uklanjanje elemenata pulta.</t>
  </si>
  <si>
    <t>Dobava i postava elastificiranog ekstrudiranog polistirena  XPS d=12(cm) u plivajućim podovima P2, ekstrudirani polistiren XPS 300, ploče s rubnim preklopima (30 kg/m³) s λ &lt; 0.033 W/mK, uključeno podizanje uza zid.</t>
  </si>
  <si>
    <t xml:space="preserve">Dobava i postava polietilenske folija (50 kg/m³) polagane s preklopima, sloj za prigušenje topota s ΔLw &gt; 20 dB.            </t>
  </si>
  <si>
    <t>Toplinska izolacija stropova S3. Dobava potrebnog materijala i izvedba izolacije u slojevima: mineralna vuna s filcom 2×10cm, PE folija 0,02cm. U stavci predvidjeti slobodno položene OSB ploče 550kg/m3 debljine 1,8 cm kao završni sloj.</t>
  </si>
  <si>
    <t>Obračun po m2 izvedene izolacije i završnog sloja.</t>
  </si>
  <si>
    <t>Toplinska izolacija krova K1. Dobava potrebnog materijala i izvedba izolacije u slojevima: kamena vuna u tvrdim pločama 10cm, kamena vuna u tvrdim pločama 10cm koef vodljivosti 0,036 W/mK, PE folije 0,02cm, u stavci predvidjeti i daskanje.</t>
  </si>
  <si>
    <t>Daskanje podgleda stropa iznad drvenih kliješta se izvodi daskama debljine 2,5 cm.</t>
  </si>
  <si>
    <t>Obračun po m2 izvedene izolacije i opisanih slojeva.</t>
  </si>
  <si>
    <t xml:space="preserve">Izvedba krovišta u slijedećim slojevima (nosiva konstrukcija postojećeg krova se zadržava): </t>
  </si>
  <si>
    <t>- gipskartonske ploče (900kg/m3)</t>
  </si>
  <si>
    <t>Oblaganje stropova drvenom oplatom 1,5cm S3.</t>
  </si>
  <si>
    <t>Obloga zida s unutarnje strane pločama od gipskartona na tipskoj aluminijskoj potkonstrukciji.</t>
  </si>
  <si>
    <t xml:space="preserve">U jediničnu cijenu ulazi dobava i ugradnja parketa, te dobava, pripasavanje, ljepljenje, pribijanje, brušenje i lakiranje sokl letvica od lakiranog medijapana visine 8 cm u boju prema izboru projektanta, uključena priprema podloge i sav potreban rad, materijal i pribor. </t>
  </si>
  <si>
    <t>sokl letvice</t>
  </si>
  <si>
    <t>Obračun po m2 i m1 ukupno izvedene obloge.</t>
  </si>
  <si>
    <t>2.4.</t>
  </si>
  <si>
    <t>Humuziranje se izvodi strojno, materijalom dobavljenim na</t>
  </si>
  <si>
    <t>gradilište do kote planiranog gotovog terena oko objekta.</t>
  </si>
  <si>
    <t>Ovaj rad obuhvaća dobavu kvalitetnog humusa, njegovo</t>
  </si>
  <si>
    <t>- Poa pratensis 40%</t>
  </si>
  <si>
    <t>- Festuca rubra 20%</t>
  </si>
  <si>
    <t>- Lolium perene 20%</t>
  </si>
  <si>
    <t>- Festuca ovina 5%</t>
  </si>
  <si>
    <t>razastiranje, grubo strojno planiranje te frezanje, fino ručno planiranje i lagano nabijanje.</t>
  </si>
  <si>
    <t>Na ovako pripremljenoj površini izvodi se kvalitetni travnjak i to tako da se najprije izvrši kompostiranje kvalitetnim kompostom u sloju d = 2 cm.</t>
  </si>
  <si>
    <t>Slijedi nabava, doprema i sjetva slijedeće travne smjese:</t>
  </si>
  <si>
    <t>Obračunava se po m2 stvarno izvedenog i odnjegovanog travnjaka.</t>
  </si>
  <si>
    <t>Humuziranje zelene površine ispred objekta u debljini 30 cm s izvedbom travnjaka.</t>
  </si>
  <si>
    <t>- Cynosurus cristatus 5%</t>
  </si>
  <si>
    <t>- Agrostis stolonifera 5%</t>
  </si>
  <si>
    <t>Izvedba travnjaka: plitko prekopavanje, po potrebi gnojenje s 5 litara/ m2 , fino planiranje s potrebnim nagibom za površinsku, odvodnju, sjetva travne smjese, ježenje, valjanje, jednokratno rošenje.</t>
  </si>
  <si>
    <t>Obračun po m.</t>
  </si>
  <si>
    <t>Ručni iskop zemljanog materijala ispred objekta u debljini 30 cm. Obračun po m2 iskopa.</t>
  </si>
  <si>
    <t>2.5.</t>
  </si>
  <si>
    <t>3.3.</t>
  </si>
  <si>
    <t>Zid u terenu</t>
  </si>
  <si>
    <t>Revizioni poklopci</t>
  </si>
  <si>
    <t>Dobava i ugradnja revizionih poklopaca u sklopu spuštenog</t>
  </si>
  <si>
    <t>stropa od glatkih gipskartonskih ploča.</t>
  </si>
  <si>
    <t>Stavka obuhvaća potrebnu podkonstrukciju i standardne</t>
  </si>
  <si>
    <t>rubne lajsne za spoj sa okolnim stropom ili zidom. Poklopci su</t>
  </si>
  <si>
    <t>tipski proizvođača ploča aluminijski plastificirani u boji okolne</t>
  </si>
  <si>
    <t>plohe. Detaljne dimenzije poklopaca biti će date naknadno a</t>
  </si>
  <si>
    <t>treba ih uskladiti sa zahtjevima instalacija.</t>
  </si>
  <si>
    <t>vel. cca 30x30 cm</t>
  </si>
  <si>
    <t>vel. cca 65x65 cm</t>
  </si>
  <si>
    <t>Dobava i ugradnja revizionih poklopaca u sklopu spuštenog stropa od glatkih gipskartonskih ploča.</t>
  </si>
  <si>
    <t>1.21.</t>
  </si>
  <si>
    <t>Uklanjanje ekspandiranog polistirena i drugog otpada iz tavanskog prostora.</t>
  </si>
  <si>
    <t>Proširenje svjetlih otvora fasadne stolarije za 5-10cm sa svake strane.</t>
  </si>
  <si>
    <t>1.22.</t>
  </si>
  <si>
    <t>10.3.</t>
  </si>
  <si>
    <t>Izrada, dobava i montaža vertikalne odvodne cijevi i pripadajućih obujmica Ø 100 mm.</t>
  </si>
  <si>
    <t>Prije same izrade limarskih radova potrebno je uzeti izmjeru na licu mjesta.</t>
  </si>
  <si>
    <t>Žlijeb s opšavom se postavlja na drvenu krovnu konstrukciju ispod pokrova krovišta</t>
  </si>
  <si>
    <t>Obračun prema m1 kompletno izvedenog odvodne cijevi, sa svim potrebnim radom, materijalom, pomoćnim materijalom i dijelovima.</t>
  </si>
  <si>
    <t>Vertikalne odvodne cijevi izvesti iz plastificiranog lima u boji prema izboru projektanta, debljine sukladno općim uvjetima, okrugli presjek, s pripadjućim koljenima i ubodima od plastificiranog Alu lima u boji po izboru projektanta.</t>
  </si>
  <si>
    <t>Odvodnu cijev kao i spoj iste na žlijeb potrebno je izvesti točno prema detalju. Lim dilatirati na propisanim razmacima. U cijenu uračunate i ALU, ČN obujmice za prihvaćanje vertikala, njihova izrada i postava istih, uključivo postava gumenog podloška.</t>
  </si>
  <si>
    <t>Obračun prema m1 kompletno izvedenog žlijeba s svim potrebnim radom, materijalom, pomoćnim opšavaom, materijalom i dijelovima.</t>
  </si>
  <si>
    <t>15.1.</t>
  </si>
  <si>
    <t>15.2.</t>
  </si>
  <si>
    <t xml:space="preserve">Otvori s dvije kontinuirane brtve na spoju krila i doprozornika, ugradnja otvora po RAL principima ugradnje, </t>
  </si>
  <si>
    <t>Dobava i ugradnja unutarnje drvene stolarije.</t>
  </si>
  <si>
    <t>Razdjelni INOX profili uz podno opločenje na spoju sa</t>
  </si>
  <si>
    <t>Dobava i montaža razdjelnih profila u inox izvedbi. Polažu se</t>
  </si>
  <si>
    <t>Proizvod karakteristika kao “SCHLUTER” tip SCHIENE –E u</t>
  </si>
  <si>
    <t>inox izvedbi ili jednakovrijedan proizvod:</t>
  </si>
  <si>
    <t>_____________________________________________</t>
  </si>
  <si>
    <t>U stavci uključen kompletan osnovni i pričvrsni materijal te</t>
  </si>
  <si>
    <t>rad.</t>
  </si>
  <si>
    <t>Obračun po m’ ugrađenog profila.</t>
  </si>
  <si>
    <t>parketom i keramičkim opločenjem poda.</t>
  </si>
  <si>
    <t>na spoju keramičkog podnog opločenja i parketa.</t>
  </si>
  <si>
    <t>U jediničnoj cijeni obuhvaćeni su svi opisani radovi, materijali i njega.</t>
  </si>
  <si>
    <t>BRAVARSKI RADOVI</t>
  </si>
  <si>
    <t>16.1.</t>
  </si>
  <si>
    <t>16.2.</t>
  </si>
  <si>
    <t>Rad obuhvaća radioničku izradu predgotovljenih elemenata rukohvata te prijevoz i ugradnju na pozicijama predviđenih projektom, uz prethodnu izradu radioničke dokumentacije koju je potrebno dostaviti na ovjeru projektantu .</t>
  </si>
  <si>
    <t>Za izvedeni rukohvat izvođač je dužan pribaviti uvjerenje o kvaliteti da predgotovljeni elementi i elementi veze udovoljavaju uvjetima kvalitete.</t>
  </si>
  <si>
    <t>Obračun po m' komplet ugrađenog rukohvata.</t>
  </si>
  <si>
    <t>Konstrukcija rukohvata (vidi tipski detalj ) sastoji se od :</t>
  </si>
  <si>
    <t>INFO CENTAR - ZGRADA 2</t>
  </si>
  <si>
    <t>RESTORAN - ZGRADA 1</t>
  </si>
  <si>
    <t>Izvedba hidroizolacije sanitarija  zidova premazom Sika ili Mapei. Obrada se izvodi premazom u dva sloja debljine 1 mm + armirna mrežica od alkalno otpornih staklenih vlakana uz obradu horizontalnih i vertikalnih spojeva trakom za brtvljenje, kutne elemente i manžete. Trake se međusobno lijepe ljepilom. Sve komplet uključeno u cijenu. Hidroizolaciju izvesti vertikalno uz zidove do visine 30 cm. Prije nanošenja potpuno odstraniti sve nevezane dijelove na tretiranim površinama kao i sve dijelove sa slabim mehaničkim karakteristikama. Čišćenje površine izvodi se pjeskarenjem, pranjem pod visokim pritiskom vode, četkanjem žičanim četkama itd. da bi se odstranile naslage prašine, tragovi stare boje, masne mrlje, hrđa, ostaci premaza za odvajanje oplate i cementna skrama - sve dok se ne dobije čista, kompaktna i neoštećena podloga. Sve neravnine i šupljine popraviti izravnavajućim mortom.</t>
  </si>
  <si>
    <t>Dobava materijala i izvedba holkera fasade u visini do 30 cm. Holker izvesti od polimerne žbuke d=2cm s prethodno nanesenim kompozitnim mortom armiranim staklenom mrežicom.</t>
  </si>
  <si>
    <t>13.3.</t>
  </si>
  <si>
    <t>Bojanje fasadnom bojom vanjske ožbukane nosive konstrukcije - stupovi i grede.</t>
  </si>
  <si>
    <t>Uklanjanje pregradnih zidova d=5-7cm uključivo sa svim slojevima.</t>
  </si>
  <si>
    <t>Rušenje zida d=25cm uključivo sa svim slojevima.</t>
  </si>
  <si>
    <t>Rušenje zida d=15cm uključivo sa svim slojevima.</t>
  </si>
  <si>
    <t>Rušenje zida d=10cm uključivo sa svim slojevima.</t>
  </si>
  <si>
    <t xml:space="preserve">Rušenje postojećih stepenica ispred objekta obloženih kamenom sa postojećim temeljima i temeljnom pločom i skidanje šljunka ispod temeljne ploče stepenica. </t>
  </si>
  <si>
    <t xml:space="preserve">Dobava betona C25/30 i izvedba armirano betonskih stepenica, koje leže na tlu sa svim potrebnim plastifikatorima debljine prema statičkom proračunu. Koristiti granulirani čisti agregat, bez primjesa prašine i sitnih frakcija ispod 0,2 mm. Ploča se radi uz obvezno vibriranje i nabijanje. Stepenice se armiraju mrežom i rebrastom armaturom, sve prema statičkom  proračunu. U cijenu stavke uključiti sve potrebno, beton, glatku oplatu, te sve prodore potrebne u ploči. Sve izvesti prema pravilima struke i dogovoru sa nadzorom i statičarem. </t>
  </si>
  <si>
    <t>Obračun za kompletan rad, materijal po m3 ugrađenog betona i m2 ugrađene oplate, armatura je predmet posebne stavke.</t>
  </si>
  <si>
    <t xml:space="preserve">Dobava betona C25/30 i izvedba arm. bet. trakastog temelja za zidove i stepenice. Koristiti granulirani čisti agregat, bez primjesa prašine i sitnih frakcija ispod 0,2 mm. Temelji se rade uz obvezno vibriranje i nabijanje. Temelj se armira mrežom i rebrastom armaturom, sve prema statičkom  proračunu. U cijenu stavke uključiti sve potrebno, beton, glatku oplatu, te sve prodore potrebne u temelju. Sve izvesti prema pravilima struke i dogovoru sa nadzorom i statičarem. </t>
  </si>
  <si>
    <t>b) armatura</t>
  </si>
  <si>
    <t>3.4.</t>
  </si>
  <si>
    <t xml:space="preserve">Dobava betona C25/30 i izvedba armirano betonskih zidova dim 30x35 cm, koje leže na tlu sa svim potrebnim plastifikatorima debljine prema statičkom proračunu. Koristiti granulirani čisti agregat, bez primjesa prašine i sitnih frakcija ispod 0,2 mm. Ploča se radi uz obvezno vibriranje i nabijanje. Stepenice se armiraju mrežom i rebrastom armaturom, sve prema statičkom  proračunu. U cijenu stavke uključiti sve potrebno, beton, glatku oplatu, te sve prodore potrebne u ploči. Sve izvesti prema pravilima struke i dogovoru sa nadzorom i statičarem. </t>
  </si>
  <si>
    <t>3.5.</t>
  </si>
  <si>
    <t>Obračun za kompletan rad, materijal i radnu skelu, po m3 ugrađenog betona, po m2 ugrađene oplate, armatura po kg.</t>
  </si>
  <si>
    <t>Dobava materijala, transport i betoniranje AB ploče betonom C25/30 na podlozi od nasutog šljunka sa svim potrebnim plastifikatorima. Koristiti granulirani čisti agregat, bez primjesa prašine i sitnih frakcija ispod 0,2 mm. Ploča se radi debljine 16 cm uz obvezno vibriranje i nabijanje. Ploča se armira mrežom i rebrastom armaturom, sve prema statičkom  proračunu. U cijenu stavke uključiti sve potrebno, beton, te sve prodore potrebne u ploči (prodore pod pločom, usjeke u ploči, ventilacijske otvore i slično). Sve izvesti prema pravilima struke i dogovoru sa nadzorom i statičarem.</t>
  </si>
  <si>
    <t xml:space="preserve">Obračun po m3 šljunka u zbijenom stanju. </t>
  </si>
  <si>
    <t>Dobava, razastiranje i nabijanje sloja šljunka debljine  do 89 cm. Točnost planiranja ± 1 cm.  Kamena posteljica uz ugradnju na prethodno očišćenu podlogu. Stavka uključuje nasipavanje uz potrebno nabijanje i valjanje u slojevima, strojno uz zahtjev za nabijenošću podloge min. 60 MN/m2. U cijeni sve komplet izvedeno.</t>
  </si>
  <si>
    <t>2.6.</t>
  </si>
  <si>
    <t>Dobava potrebnog materijala i izvedba gipskartonskih pregradnih zidova d=15cm, obostrano dvostruka obloga gipskartonskim pločama, vanjska vlagootporna ako se radi o mokrim prostorima, spojevi ploča bandažirani i gletani, površina impregnirana prije lijepljenja pločica na potkonstrukciji od CW100 profila s mineralnom vunom za ispune potkonstrukcija (15-50 kg/m³) debljine 10 cm.</t>
  </si>
  <si>
    <t>-stakleni voal 200g/m2</t>
  </si>
  <si>
    <t>-OSB ploče (550kg/m3) debljine 1,8 cm</t>
  </si>
  <si>
    <t>-kamena vuna u pločama (50kg/m2) koef vodljivosti 0,036 W/mK</t>
  </si>
  <si>
    <t>- polietilenska folija polagana s preklopima (1000 kg/m3)</t>
  </si>
  <si>
    <t>- daščana oplata podgleda stropa debljine 2,5 cm</t>
  </si>
  <si>
    <t>Dobava materijala i izvedba toplinske izolacije krova K1. Dobava potrebnog materijala i izvedba izolacije u slojevima: kamena vuna u tvrdim pločama 10cm, kamena vuna u tvrdim pločama 10cm koef vodljivosti 0,036 W/mK, PE folije 0,02cm.</t>
  </si>
  <si>
    <t>Oblaganje stropa tavana gipskartonskim pločama 1,5cm na podkonstrukciji od letvi  3/5cm K1</t>
  </si>
  <si>
    <t>- vatrootporne gipskartonske ploče (predmet poglavlja gipskartonski radovi)</t>
  </si>
  <si>
    <t>Izrada, doprema i montaža stepenica za tavan. 16×18,10/16×20 širine kraka 110cm.</t>
  </si>
  <si>
    <t>Dobava i ugradnja ravne pregrade pisoara izrađene od max compact  dimenzije 87,5/90 cm komplet sa prihvatnim materijalom, od poda uzdignute 50 cm. Max ploča debljine 13 mm. Uzorak završno obrađen aplikacijom u boji hrast natur prema odabiru projektanta.</t>
  </si>
  <si>
    <t>Poz V1 Jednokrilna zaokretna vrata 110×237cm, zidni otvor 115×242cm</t>
  </si>
  <si>
    <t>Poz V2 Dvokrilni fiksni prozor 350×150cm, zidni otvor 355×155cm</t>
  </si>
  <si>
    <t>Poz V3 Šestokrilni prozor, 3 fiksna i 3 klizna krila, 550×150cm, zidni otvor 555×155cm</t>
  </si>
  <si>
    <t>Poz V4 Jednokrilni fiksni prozor 375×150cm, zidni otvor 380×155cm</t>
  </si>
  <si>
    <t>Poz V5 Jednokrilna zaokretna vrata 100×237cm, zidni otvor 105×237cm</t>
  </si>
  <si>
    <t>Poz V6 Jednokrilni fiksni prozor 250×150cm, zidni otvor 255×151cm</t>
  </si>
  <si>
    <t>Poz V7 Dvokrilni prozor, 1 fiksno i 1 klizno krilo, 350×150cm, zidni otvor 355×155cm</t>
  </si>
  <si>
    <t>Poz V8 Jednokrilni fiksni prozor 335×150cm, zidni otvor 340×155cm</t>
  </si>
  <si>
    <t>Poz V9 Jednokrilni otklopno-zaokretni prozor 100×150cm, zidni otvor 115×155cm</t>
  </si>
  <si>
    <t>Poz V10 Jednokrilni otklopno-zaokretni prozor 80×70cm, zidni otvor 85×75cm</t>
  </si>
  <si>
    <t>Dobava, transport i polaganje troslojnog gotovog lakiranog  parketa E/S klase vrsta hrast u boji ariša, dimenzije 480-1200 x 90 x14 mm.  Parket se postavlja po sistemu “brodski pod”, ljepljenjem epoksidnim ljepilom na  podlogu od cem estriha uz prethodnu impregnaciju. Smjer polaganja parketa određuje projektant.</t>
  </si>
  <si>
    <t>Poz U1 Jednokrilna vrata 70×237cm, zidni otvor 75×242cm</t>
  </si>
  <si>
    <t>Poz U2 Jednokrilna vrata 90×237cm, zidni otvor 95×242cm</t>
  </si>
  <si>
    <t>Poz U3 Jednokrilna klizna vrata 90×237cm, zidni otvor 92 ×237cm</t>
  </si>
  <si>
    <t>Poz U4 Trokrilna zaokretna staklena stijena sa jednim zaokretnim vratima i dva fiksera dim 265x237 cm</t>
  </si>
  <si>
    <t>Poz U5 Jednokrilni fiksni prozor između ureda dim 335x150cm, zidni otvor 340×155cm</t>
  </si>
  <si>
    <t>Poz U6 Jednokrilni fiksni prozor između ureda dim 260x150cm, zidni otvor 265×155cm</t>
  </si>
  <si>
    <t xml:space="preserve">180×60cm </t>
  </si>
  <si>
    <t xml:space="preserve">107×60cm </t>
  </si>
  <si>
    <t>3.6.</t>
  </si>
  <si>
    <t>ARMIRANOBETONSKI TEMELJI NOSAČA ZASTAVA
Dobava materijala i izvedba armiranobetonskih
temelja dimenzija 440x70x100 cm.
BETON
Beton razreda čvrstoće C25/30.
OPLATA
Oplata uključuje sve elemente potrebne za
izvedbu do pune zrelosti betona.
ARMATURA
Stavka uključuje dobavu, ispravljanje, savijanje,
postavu i vezivanje armature. Armatura se izvodi
prema statičkom računu i nacrtima savijanja
armature.
Armira se armaturnim šipkama B500 B.
Armiranje je potrebno uskladiti sa isporučivanjem
nosača zastava koji trebaju biti isporučeni s
ankernim koševima koji se postavljaju u temelj
prilikom armiranja, a prije betoniranja.</t>
  </si>
  <si>
    <t>Obračun po m2 drvene obloge.</t>
  </si>
  <si>
    <t>Dobava i montaža stupa za zastave, sa</t>
  </si>
  <si>
    <t>zaokretnom prečkom za zastavu. Konstrukcija od</t>
  </si>
  <si>
    <t>INOX AISI 304. Visina stupa je 600 cm. Zakretna</t>
  </si>
  <si>
    <t>prečka je duga 115 cm. Pričvršćivanje i temeljenje</t>
  </si>
  <si>
    <t>sukladno specifikacijama proizvođača. Nosač</t>
  </si>
  <si>
    <t>zastava treba biti isporučen s ankernim košem</t>
  </si>
  <si>
    <t>koji se postavlja u temelj prilikom armiranja a prije</t>
  </si>
  <si>
    <t>betoniranja.</t>
  </si>
  <si>
    <t>Obračun po kom.</t>
  </si>
  <si>
    <t xml:space="preserve">NOSAČI ZASTAVA </t>
  </si>
  <si>
    <t>Demontaža i odvoz na gradsku deponiju postojećeg info panela.</t>
  </si>
  <si>
    <t>ZGRADA 2 - informativni centar "Slap" (prodaja karata )</t>
  </si>
  <si>
    <t xml:space="preserve">Toplinska izolacija stropova S1- strop prema potkrovlju . Dobava potrebnog materijala i izvedba izolacije u slojevima: </t>
  </si>
  <si>
    <t>16.3.</t>
  </si>
  <si>
    <t xml:space="preserve">komplet </t>
  </si>
  <si>
    <t>Uklanjanje svih unutarnjih drvenih obloga zidova i stropova i kompletnog postojećeg namještaja, uključivo sve stolice u dvorani.</t>
  </si>
  <si>
    <t>Dobava i postava obloge od lomljenog kamena na stepenicama prema odabiru projektanta kamen debljine d=3cm.</t>
  </si>
  <si>
    <t>10.4.</t>
  </si>
  <si>
    <t>10.5.</t>
  </si>
  <si>
    <t>Izrada konstrukcije rukohvata duž stepenica prema tavanu.</t>
  </si>
  <si>
    <t>Sve elemente antikorozivno zaštititi završnom bojom u dva sloja. Boja ograde antracit RAL 7016 (mat).</t>
  </si>
  <si>
    <t>14.3.</t>
  </si>
  <si>
    <t xml:space="preserve">Dobava materijala i ugradnja nosive potkonstrukcije za prihvat kamene obloge pulta na cementnim pločama od cijevnog čeličnog presjeka, u cijenu uključiti sav spojni i pričvrsni materijal sve prema detalju i shemi projektanta.
Predvidjeti AKZ zaštitu prema troškovničkoj stavci. </t>
  </si>
  <si>
    <t>Obračun po kg.</t>
  </si>
  <si>
    <t xml:space="preserve">Dobava i ugradnja obloge od cementnih ploča na nosivoj čeličnoj potkonstrukciji uključenoj u poglavlju bravarski radovi. Uključen sav potreban materijal i rad. </t>
  </si>
  <si>
    <t>Uklanjanje pregradnog zida d=5cm između spremišta i mjenjačnice sa svim slojevima.</t>
  </si>
  <si>
    <t>Rušenje zida d=25cm u sanitarijama sa svim postojećim slojevima.</t>
  </si>
  <si>
    <t>Rušenje zida d=15cm u sanitarijama sa svim postojećim slojevima.</t>
  </si>
  <si>
    <t>Proširenje svjetlih otvora fasadne stolarije za 5-10 cm sa svake strane .</t>
  </si>
  <si>
    <t>Rušenje zidića ispred objekta obloženog kamenom sa postojećim temeljima. Zidić dimenzija 40x(40-80) cm.</t>
  </si>
  <si>
    <t>Strojno razbijanje kamene podne obloge d=5 m na sloju betonske ploče d=20 cm u širini 50 cm oko objekta uz fasadu. U cijenu uključen utovar i odvoz otkopanog materijala na deponij.</t>
  </si>
  <si>
    <t xml:space="preserve">Kombinirani strojni i ručni iskop materijala do temeljnih traka dubine cca 80 cm u širini 50 cm oko objekta.  U cijenu uključiti utovar i odvoz iskopanog materijala na deponiju.  </t>
  </si>
  <si>
    <t>Dobava materijala i izvedba horizontalne i vertikalne hidroizolacije unutarnjih prostorija na postojeći sloj hidroizolacije.</t>
  </si>
  <si>
    <t>kolovoz 2016.</t>
  </si>
  <si>
    <t>Uklanjanje unutarnjih vrata, uključivo drveni dovratnici.</t>
  </si>
  <si>
    <t>Dobava i postava elestificiranog ekspandiranog polistirena EPS d=2(cm), λ=0,037 (W/mK), m'=0,42 (kg/m2) u plivajućim podovima P1, U sloju od 2 cm s PE folijom, uključeno podizanje uza zid.</t>
  </si>
  <si>
    <t>Obračun po m2 elestificiranog ekspandiranog polistirena.</t>
  </si>
  <si>
    <t>4.14.</t>
  </si>
  <si>
    <r>
      <rPr>
        <i/>
        <u/>
        <sz val="10"/>
        <rFont val="Calibri"/>
        <family val="2"/>
        <charset val="238"/>
        <scheme val="minor"/>
      </rPr>
      <t xml:space="preserve">rukohvata </t>
    </r>
    <r>
      <rPr>
        <sz val="10"/>
        <rFont val="Calibri"/>
        <family val="2"/>
        <charset val="238"/>
        <scheme val="minor"/>
      </rPr>
      <t xml:space="preserve">od čeličnog cijevnog profila promjera 40 mm .                    </t>
    </r>
  </si>
  <si>
    <t>Dobava, izrada i montaža info ploče na mjesto prema odabiru projektanta. U svemu prema shemi projektanta.</t>
  </si>
  <si>
    <t>Dobava potrebnog materijala i izvedba gipskartonskih pregradnih zidova d=15cm, obostrano dvostruka obloga gipskartonskim pločama, vanjska vlagootporna ako se radi o mokrim prostorima, spojevi ploča bandažirani i gletani, 
 površina impregnirana prije lijepljenja pločica.od CW75 profila s mineralnom vunom za ispune potkonstrukcija (15-50 kg/m³) debljine 10 cm.</t>
  </si>
  <si>
    <t>Ugradnja u gk zid debljine 15cm</t>
  </si>
  <si>
    <t>Ugradnja u zidani zid debljine 25cm</t>
  </si>
  <si>
    <t>9.27.</t>
  </si>
  <si>
    <t>GLAVNI PROJEKT</t>
  </si>
  <si>
    <t>NPPJ-1</t>
  </si>
  <si>
    <t>04/16</t>
  </si>
  <si>
    <t>Zoran Jakelić, d.i.s.</t>
  </si>
  <si>
    <t>Milan Hršak, d.i.e.</t>
  </si>
  <si>
    <t xml:space="preserve">Horizontalna hidroizolacija unutarnjih prostorija na postojeći sloj hidroizolacije oznake P1. </t>
  </si>
  <si>
    <t>Poz V1 Dvokrilna fiksna staklena stijena 400×250cm</t>
  </si>
  <si>
    <t>Poz V2 Jednokrilni fiksni prozor 215×190cm, 1 fiksno</t>
  </si>
  <si>
    <t>Poz V3 Trodijelna fiksno zaokretna stijena 380×190 I 250cm</t>
  </si>
  <si>
    <t>Poz V4 Trokrilni fiksno zaokretni prozor 380×190cm</t>
  </si>
  <si>
    <t>Poz V5 Jednokrilni otklopno-zaokretni prozor 70×60cm</t>
  </si>
  <si>
    <t>Poz V6 Jednokrilni otklopno-zaokretni prozor 100×60cm</t>
  </si>
  <si>
    <t>Poz V8 Jednokrilni otklopno-zaokretni prozor 100×100cm</t>
  </si>
  <si>
    <t>Poz V7 Jednokrilni otklopno-zaokretni prozor 140×130cm.</t>
  </si>
  <si>
    <t>Poz V9 Peterokrilni otklopno-zaokretni prozor 430×70cm.</t>
  </si>
  <si>
    <t>Poz V10 Četverokrilni otklopno-zaokretni prozor 340×70cm.</t>
  </si>
  <si>
    <t>Poz V11 Četverokrilni prozor za 3 fiksna i jednim kliznim prozorom 255×150cm, 3fiksna, 1 klizno krilo.</t>
  </si>
  <si>
    <t>Poz V12 Jednokrilni fiksni prozor 255×150cm.</t>
  </si>
  <si>
    <t>Poz V13 Jednokrilni fiksni prozor 70×150cm</t>
  </si>
  <si>
    <t>Poz V14 Dvokrilna zaokretna ostakljena vrata 175×250cm.</t>
  </si>
  <si>
    <t>Poz V15 jednokrilna zaokretna ostakljena vrata 100×250cm.</t>
  </si>
  <si>
    <t>Poz V16 Jednokrilni fiksni prozor 115×150cm.</t>
  </si>
  <si>
    <t>Poz V17 Jednokrilna vrata 100×210cm,, vrata sa punim drvenim vratnim krilom koja zadovoljavaju uvijet vartootpornosti EI230-C</t>
  </si>
  <si>
    <t>Poz V18 Jednokrilna zaokretna vrata 90×210cm, vrata sa punim drvenim vratnim krilom</t>
  </si>
  <si>
    <t xml:space="preserve">Poz U3 Jednokrilna ostakljena mimokretna vrata 80×245cm, zidni otvor 90×250cm. </t>
  </si>
  <si>
    <t xml:space="preserve">Poz U1 Jednokrilna zaokretna vrata 80×205cm, zidni otvor 85×210cm. </t>
  </si>
  <si>
    <t>Poz U2 Jednokrilna klizna vrata 90×205cm, zidni otvor 90×210cm. Predvidjeti vrhunski okov za klizna vrata kao Häfele, gornja vodilica, graničnik klizanja, školjkica za zatvaranje.</t>
  </si>
  <si>
    <t xml:space="preserve">Poz U4 Jednodijelni fiksni prozor dim 80x205cm, zidni otvor 85×210cm. </t>
  </si>
  <si>
    <t xml:space="preserve">Poz U5 Jednokrilna zaokretna puna vrata 90×245cm, zidni otvor 95×250cm. </t>
  </si>
  <si>
    <t xml:space="preserve">Dobava i ugradnja ravne stijene izrađene od max compact ploča debljine 70 mm u sanitarijama, sa ugrađenim vratima. Stijena ukupne visine 205 cm, izdignuto od poda za 15 cm na nogama od nehrđajućeg čelika, 4 strane širine 160 cm, 4 stranice širine 90cm s vratima. Vratna krila dim. 70×205cm. Vratno krilo opremljeno s tri panta po vratima, aluminijsko-eloksiranim nosivim profilima - U profili dimenzije 16,5/25 mm za sidrenje u zid na bočnik stranama i H profili dimenzije 40x40 mm kao horizontalna ukruta, zasunom sa crveno-zelenim indikatorom zaključanosti, leptir bravom, mogućnošću sigurnosnog otvaranja izvana, vješalicom za odlaganje i inox odbojnikom. Stijena bočno fiksirana u zidove obložene keramikom. Predvidjeti sve komplet ugrađeno, pregradna stijena, vrata, nosive i spojne elemente, okove kvake i odbojnike. Površina otporna na mehanička oštećenja i laka za održavanje (otporna na vodu i kemijska sredstva za održavanje). Vrstu drvenog dekora- laminata, max compact ploče određuje projektant.
</t>
  </si>
  <si>
    <t>Dobava i ugradnja ravne stijene izrađene od max compact ploča debljine 70 mm u sanitarijama, sa ugrađenim vratima. Stijena ukupne visine 205 cm, izdignuto od poda za 15 cm na nogama od nehrđajućeg čelika, 7 strana širine 160 cm, 7 stranica širine 90cm s vratima i 1 stranica širine 105cm s vratima . Vratna krila dim. 70×205cm. Vratno krilo opremljeno s tri panta po vratima, aluminijsko-eloksiranim nosivim profilima - U profili dimenzije 16,5/25 mm za sidrenje u zid na bočnik stranama i H profili dimenzije 40x40 mm kao horizontalna ukruta, zasunom sa crveno-zelenim indikatorom zaključanosti, leptir bravom, mogućnošću sigurnosnog otvaranja izvana, vješalicom za odlaganje i inox odbojnikom. Stijena bočno fiksirana u zidove obložene keramikom. Predvidjeti sve komplet ugrađeno, pregradna stijena, vrata, nosive i spojne elemente, okove kvake i odbojnike. Površina otporna na mehanička oštećenja i laka za održavanje (otporna na vodu i kemojska sredstva za održavanje). Vrstu drvenog dekora- laminata, max compact ploče određuje projektant.</t>
  </si>
  <si>
    <t>Dobava i ugradnja ravne pregrade pisoara izrađene od max compact  dimenzije 27/90 sm komplet sa prihvatnim materijalom, od poda uzdignute 50 cm. Max ploča debljine 13 mm. Vrstu drvenog dekora- laminata, max compact ploče određuje projektant.</t>
  </si>
  <si>
    <t>Dobava materijala i izvedba opločenja poda u restoranu  keramičkim podnim pločicama stupanj protukliznosti R10,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 Obračun po m2.</t>
  </si>
  <si>
    <t>Dobava materijala i izvedba drvenog sokla v=10 cm, u boji stolarije u restoranu. Obračun po m1.</t>
  </si>
  <si>
    <t>materijal - drveni sokl</t>
  </si>
  <si>
    <t>Dobava materijala i izvedba opločenja podova u sanitarnim prostorima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t>
  </si>
  <si>
    <t>Dobava materijala i izvedba opločenja zida u restoranu keramičkim zidnim pločicama do pune visine koja iznosi 249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romboidnog oblika 11,5 x 20 cm., ravno rezanih rubova,  tip kao proizvođač Mutina, serija Tex, ili jednakovrijedan proizvod_____________________________ boja po izboru projektanta, širina fuge 2 mm</t>
  </si>
  <si>
    <t>Dobava materijala i izvedba opločenja poda u kuhinji  i spremištu keramičkim podnim pločicama stupanj protukliznosti R11,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Deterdek.Keramička gres pločica I "A" kvaliteta, debljina 10 mm., veličina 30x30 cm., ravno rezanih rubova, mat završne obrade, protukliznosti R-11, tip kao proizvođač Florgress,  serija basic, ili jednakovrijedan proizvod _____________________________ boja po izboru projektanta, širina fuge 2 mm.Obračun po m2.</t>
  </si>
  <si>
    <t>Dobava materijala i izvedba opločenja zidova u sanitarnim prostorima keramičkim zidnim pločicama do visine 210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80x40 cm., ravno rezanih rubova, mat završne obrade, tip kao proizvođač Rex Ceramiche, serija La roche, ili jednakovrijedan proizvod_____________________________ boja po izboru projektanta, širina fuge 2 mm</t>
  </si>
  <si>
    <t>Dobava materijala i izvedba opločenja podova u prostorima mjenjačnice, info i spremišta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t>
  </si>
  <si>
    <t>Dobava materijala i izvedba drvenog sokla v=10 cm, u boji stolarije u prostorima mjenjačnice, info i spremišta.</t>
  </si>
  <si>
    <t xml:space="preserve">Opločenje poda u prostoru wc-a, čajne kuhinje i spremišta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40x80 cm., ravno rezanih rubova, mat završne obrade, protukliznosti R-10, tip kao proizvođač Rex Ceramiche, serija La roche, ili jednakovrijedan proizvod_____________________________ boja po izboru projektanta, širina fuge 2 mm. </t>
  </si>
  <si>
    <t xml:space="preserve">Opločenje zidova u sanitarnim prostorima keramičkim zidnim pločicama do visine 263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40x80 cm., ravno rezanih rubova, mat završne obrade, protukliznosti R-10, tip kao proizvođač Rex Ceramiche, serija La roche, ili jednakovrijedan proizvod_____________________________ boja po izboru projektanta, širina fuge 2 mm. </t>
  </si>
  <si>
    <t>Dio stavke su i unutarnja i vanjska drvena klupčica ili okvir oko prozora, sve prema shemi</t>
  </si>
  <si>
    <t>, u boji i uzorku</t>
  </si>
  <si>
    <t>Stropna obloga - protupožarni strop.  Dobava materijala i izrada protupožarnog stropa na dvostrukoj metalnoj podkonstrukciji (osnovni i montažni profili). Potkonstrukcija iz  tipskih pocinčanih profila CD (debljina lima 0,6 mm), ovješenje podkonstrukcije odgovarajućin  ovjesom (držačima promjenljivog obujma - distancerima,. Montažne CD profil od pocinčanog čeličnog lima 0.6 mm, pričvršćene za nosive profile križnom spojnicom. U području dodira čeličnih profila s stropom na profile je potrebno nanijeti  PE brtvenu traku. Dvostruko obloženo tip kao Rigips RF 2 x 12,5 mm (20 + 15 mm) pločama ili jednakovrijedan proizvod________________. Sve spojeve  ploča međusobno i s obodnim konstrukcijama brtviti ispunjivačem spojeva VARIO i trakama za spojeve, a na sudaru ploča s drugim materijalima postaviti razdjelnu traku ili fugirati trajno elastičnim kitom.  Razred vatrootpornosti F30 . Obračun po m².</t>
  </si>
  <si>
    <t xml:space="preserve">Dobava betona C25/30 i izvedba armirano betonske podne ploče, koja leži na tlu okolo objekta, debljine 20 cm u jednostranoj običnoj oplati, sa svim potrebnim plastifikatorima. Koristiti granulirani čisti agregat, bez primjesa prašine i sitnih frakcija ispod 0,2 mm. Ploča se radi uz obvezno vibriranje i nabijanje. Ploča se armira mrežom i rebrastom armaturom, sve prema statičkom  proračunu. U cijenu stavke uključiti sve potrebno, beton, glatku oplatu, te sve prodore potrebne u ploči. Sve izvesti prema pravilima struke i dogovoru sa nadzorom i statičarem. </t>
  </si>
  <si>
    <t>Dobava materijala i izvedba oblaganja stropa prema tavanu  od akustičkih ploča tip kao Duo Tech RB (suhi prostori) debljine 25 mm ili jednako vrijedan proizvod____________, potkodnstrukcija se izvodi od tipskih čeličnih UD i CD profila ugrađeno na najnižoj mogućoj točki postojećih nosivih elemenata, uz obveznu upotrebu brtvenih traka i akustičkih nosača. Protupožarnosti F30. Obračun po m2.</t>
  </si>
  <si>
    <t>Izrada, dobava i montaža drvenog žlijeba prema detalju sa opšavom kao kavršetka krova.</t>
  </si>
  <si>
    <t>Žlijeb izvesti od drveta prema detalju, i opšav izvesti aluminijskim plastificiranim limom, debljine 0,60 mm, u boji prema izboru projektanta.  opšav žlijeba je razvijene širine 40.00 cm. Žlijeb dilatirati na propisanim razmacima.</t>
  </si>
  <si>
    <t>Prije same izrade  radova potrebno je uzeti na licu mjesta izmjeru.</t>
  </si>
  <si>
    <t>LIMARSKI I STOLARSKI RADOVI - ODVODNJA OBORINSKIH VODA</t>
  </si>
  <si>
    <t>Dobava i postava lijevanog kulira na vanjskim stazama okolo objekta</t>
  </si>
  <si>
    <t>Strojno razbijanje kamene podne obloge d=5cm na sloju betonske ploče d=20cm  oko objekta uz fasadu. U cijenu uključen utovar i odvoz otkopanog materijala na deponij.</t>
  </si>
  <si>
    <t>1.23.</t>
  </si>
  <si>
    <t>1.24</t>
  </si>
  <si>
    <t>Rušenje postojećeg  opločenja betonskim blokovima oko objekta sa postojećom podlogom</t>
  </si>
  <si>
    <t>Rušenje postojećeg kamenog opločenja oko objekta sa postojećom podlogom od kamenih ploča debljine 2 cm.</t>
  </si>
  <si>
    <t>Dobava materijala i izvedba sustava drvene ventilirane fasade sa horizontalno polaganim daskama širine 15, 10 i 7 cm, drvo crnogorica, smreka . Z7. Na mjestima gdje su zidovi izrađeni kao masivni, Z5,  se izvodi ista fasadna obloga kao i na laganim sendvič zidovima. Stavka opisuje laki sendvič zid.</t>
  </si>
  <si>
    <t>Dobava materijala i izvedba fasadne drvene obloge vanjskog podgleda oko objekta, drvo crnogorica, smreka,sa svim potrebnim premazima i bojom prema odabiru projektanta i konzervatora</t>
  </si>
  <si>
    <t>Izvedba fasade u slijedećim slojevima:
-PE folija 0,02cm
-ispuna nosive konstrukcije kamena vuna u pločama d=10cm
-OSB ploče d=1,80cm                                                                       - polimercementno visokofleksibilno građevinsko ljepilo debljine 0,5 cm
-toplinska izolacija -pjenasto staklo CG (100kg/m3) d=12cm                     - kišna brana, paropropusna i vodonepropusna folija
-vertikalne letve 3/5cm zaštićene metalnim mrežicama u zoni podnožja i vha zida te unutar i iznad prozora
-daske horizontalno polagane  širine 15, 10 i 7 cm, drvo crnogorica, smreka,  d=2,5cm, sa svim potrebnim premazima i bojom prema odabiru projektanta i konzervatora</t>
  </si>
  <si>
    <t xml:space="preserve">   -</t>
  </si>
  <si>
    <t>toplinska izolacija prevučena slojem odgovarajućeg ljepila sa staklenom mrežicom i sa završnim slojem vodoodbojne fasadne žbuke po odabiru projektanta.</t>
  </si>
  <si>
    <t>Žbuka u boji po izboru projektanta.</t>
  </si>
  <si>
    <t>Po m2 vidljive plohe sa odbitkom otvora preko 4,0 m2/kom. Za otvore preko 4 m2 potrebno obrađunati špalete minimalne širine za obračun 20 cm.</t>
  </si>
  <si>
    <t xml:space="preserve">zaribana fasada </t>
  </si>
  <si>
    <t>Izvedba toplinske izolacije u sklopu izolirane fasade unutar ETICS sustava, sa pločama kamene vune. Rad se izvodi na fasadnim zidovima i drugim plohama na fasadi. Izvodi se:</t>
  </si>
  <si>
    <t>toplinska izolacija od pjenastog stakla deb. 12 cm Špalete posebno izolirati istim pločama. Sa tipskim nehrđajućim pričvrsnim priborom (uključivo i čavli), do cca 6 kom/m2 plohe fasade odnosno cca 12 kom/m2 plohe fasade uz rubove);</t>
  </si>
  <si>
    <t>Izvedbom fasade treba obuhvatiti i izvedbu špaleta vrata (sa 3 strane otvora), u svemu po detaljima i uputama odabranog proizvođača fasade.</t>
  </si>
  <si>
    <t>Sve radove treba izvesti isključivo po uputama, koristeći materijale, alate i način izvođenja po tehnologiji proizvođača slojeva fasade. Visina fasade do 3 m. Rad sa fasadne skele (uključeno posebnom stavkom ovog troškovnika).Boja po odabiru projektanta. U cijeni m2 komplet izvedene i završno obrađene fasade obuhvatiti obradu svih špaleta, rubova, bridova, završetaka, spojeva, prodora, dilatacija. Bez obzira na oblik i veličinu plohe za obradu.</t>
  </si>
  <si>
    <t>6.5.</t>
  </si>
  <si>
    <t>Dobava i ugradnja vanjske drvene stolarije ariš – I klase, troslojna laminirana. Površinska obrada: bojeno poliuretanskim premazom u tonu prema odabiru projektanta i konzervatora.</t>
  </si>
  <si>
    <t>Dio stavke su i unutarnja i vanjska drvena klupčica ili okvir oko prozora, od ariša, sve prema shemi</t>
  </si>
  <si>
    <t>Za sve stavke unutarnje stolarije krila i dovratnici su od ariša,  tvornički obrađeni poliuretanskim lakom, u boji RAL prema izboru projektanta. Krilo ravno, bez uklada i falca sa skrivenim pantima.</t>
  </si>
  <si>
    <t xml:space="preserve">Vratno krilo je izrađeno od drvenog okvira, ispuna okal ploča, obložena obostrano furniranom  pločom od ariša debljine 3,2 mm. Dovratnik i lajsne od ariša, završno lakirano u boji prema izboru. U cijenu uključena kvaka s rozetom, skrivene spojnice minimalno tri kom po vratnom krilu, brtva na dovratniku i magnetna brava. </t>
  </si>
  <si>
    <t>Izrada, dostava i montaža staklene pregrade od kaljenog stakla 2x10mm u drvenom okviru od ariša sve u skladu sa shemom projektanta dim 480x140 cm.</t>
  </si>
  <si>
    <t>Dobava i postava pragova od liskovačkog kamena prema odabiru projektanta širina 36 cm, debljine 3cm, završna obrada-polirano.</t>
  </si>
  <si>
    <t>Obračun po m3.</t>
  </si>
  <si>
    <t>Dobava i postava kamenih blokova od liskovačkog kamena debljine 15-18 cm, na mjestu  postojećih zidića oko objekta.</t>
  </si>
  <si>
    <t>-kalana drvena šindra 3cm, drvo crnogorica (550 kg/m3), ariš, preklop 3 sloja šindre, premaz mineralnim bojama ili voskom prema dogovoru sa projektantom i konzervatorom.</t>
  </si>
  <si>
    <t>Izdrada, doprema i ugradnja drvene nadstrešnice iznad kontrole ulaza i izlaza za posjetitelje</t>
  </si>
  <si>
    <t>dimenzije - š 5 * d 1,5 m * 2,6 v</t>
  </si>
  <si>
    <t>obloga konstrukcije drvenim daskama od ariša</t>
  </si>
  <si>
    <t>4 stupa dimenzije 16*16*250 cm</t>
  </si>
  <si>
    <t>2 grede dimenzije 16*16*504 cm</t>
  </si>
  <si>
    <t>2 grede dimenzije 16*16*108 cm</t>
  </si>
  <si>
    <t>daščana obloga 48 m2</t>
  </si>
  <si>
    <t>drvena konstrukcija  stupova i  greda od crnogorice</t>
  </si>
  <si>
    <t>Dobava i postava granitnih kocaka dimenzija 10š x 10š x 6v cm, na nivelacijskom sloju    4 cm miješavini od lomljenog pijeska 0/5 oko objekta, sve prema odabiru projektanta i konzervatora.</t>
  </si>
  <si>
    <t>Dobava, razastiranje i zbijanje tamponskog  sloja šljunka u sloju debljine 30 cm  oko objekta i na okolnom terenu kao podloga novom opločenju. Sloj treba biti zbijen do stupnja ispitane zbijenosti izražen kao modul stišljivosti Mv = 50 MPa i isplaniran na 2 cm točnosti.</t>
  </si>
  <si>
    <t xml:space="preserve">Rušenje postojećih zidića oko objekta na terenu visine do 50 cm od kamenih blokova. </t>
  </si>
  <si>
    <t>Dobava materijala i izvedba sustava drvene ventilirane fasade sa horizontalno polaganim daskama širine 15, 10 i 7 cm, drvo crnogorica, smreka. Z1. Na mjestima gdje su zidovi izrađeni kao masivni se izvodi ista fasadna obloga kao i na laganim sendvič zidovima. Stavka opisuje laki sendvič zid.</t>
  </si>
  <si>
    <t xml:space="preserve">DRVENA SJEDALICA
Nabava, dostava i montaža drvene sjedalice od ariša
ukupne dimenzije 160x53x6 cm na zidić obložen lomljenim kamenom.
Drvena sjedalica sastoji se od letvica dimenzija
presjeka 4x6 cm, od termički obrađene
hrastovine. Letvice se međusobno spajaju
pomoću 2 nehrđajuće navojne šipke koja svaka
sa 9 tipskih pocinčanih distancera osigurava
razmak od 1,4 cm između letvica. Navojna šipka
se na svojim krajevima pričvršćuje nehrđajućom
maticom koja je upuštena za 1,5 cm u drvenu
letvicu. Navojne šipke su smještene na sredini
sjedalice, osno udaljene 100 cm. Sjedalica se
privršćuje za zidić preko navojne šipke
pomoću pocinčanog prihvatnika koji je vijcima i
plosnim elementom sidren u zidić.
Sve prema detaljnim nacrtima. </t>
  </si>
  <si>
    <t>Dobava i postava pragova od liskovačkog kamena kamena prema odabiru projektanta širina 36 cm, debljine 3cm, završna obrada-polirano.</t>
  </si>
  <si>
    <t>Dobava i postava fasadne obloge od liskovačkog kamena debljine 2cm koja se postavlja kao pult  prostora prodaje karata prema odabiru projektanta. Kamen se postavlja lijepljenjem na cementne ploče koje su montirane na pocinčanoj bravarskoj potkonstrukciji. Bravarska potkonstrukcija u poglavlju bravarski radovi i cementne ploče u poglavlju gipskartonski radovi. Kamen prema odabiru projektanta.</t>
  </si>
  <si>
    <t>Javna ustanova</t>
  </si>
  <si>
    <t>NACIONALNI PARK PLITVIcKA JEZERA</t>
  </si>
  <si>
    <t>Josipa Jovica 19, 53231 Plitivcka jezera</t>
  </si>
  <si>
    <t xml:space="preserve">ULAZ  1 “SLAP” – RASTOVAcA </t>
  </si>
  <si>
    <t xml:space="preserve">INFORMATIVNI CENTAR I RESTORAN  “SLAP”  </t>
  </si>
  <si>
    <t xml:space="preserve">- SANACIJA </t>
  </si>
  <si>
    <t>k.c. 194/3, 194/4, 194/5, 194/6, k.o. Plitvicka jezera</t>
  </si>
  <si>
    <t>TROSKOVNIK STROJARSKIH INSTALACIJA</t>
  </si>
  <si>
    <t>Projektant strojarskih instalacija:</t>
  </si>
  <si>
    <t xml:space="preserve">Zoran Jakelic, dipl.ing.stroj. </t>
  </si>
  <si>
    <t>Zagreb, kolovoz.2016.</t>
  </si>
  <si>
    <t>VENTILACIJA</t>
  </si>
  <si>
    <t>1. Odsisni kanalski ventilator za odsis sanitarija,</t>
  </si>
  <si>
    <t>trobrzinski ventilator, tip: SYSTEMAIR</t>
  </si>
  <si>
    <t>ili tehnicki jednakovrijedan proizvod:</t>
  </si>
  <si>
    <t>L=120m3/h</t>
  </si>
  <si>
    <t>dP=60Pa</t>
  </si>
  <si>
    <t>N=70W (230V, 1ph, 50Hz)</t>
  </si>
  <si>
    <t>kompl</t>
  </si>
  <si>
    <t>L=450m3/h</t>
  </si>
  <si>
    <t xml:space="preserve">  dP=100Pa</t>
  </si>
  <si>
    <t xml:space="preserve">  N=120W (230V, 1ph, 50Hz)</t>
  </si>
  <si>
    <t>2.	Isporuka tipske metalne nepovratne zaklopke</t>
  </si>
  <si>
    <t>s gumenom brtvom za ugradnju iza ventilatora,</t>
  </si>
  <si>
    <t xml:space="preserve">Fi 150 </t>
  </si>
  <si>
    <t>3.  Odsisna kuhinjska ZIDNA EKO-NAPA,</t>
  </si>
  <si>
    <t xml:space="preserve"> od nehrcajuceg celika, sa setom rezervnih filter uložaka, </t>
  </si>
  <si>
    <t xml:space="preserve"> ovjesnim priborom, sa ugracenom svjetilkom za napu</t>
  </si>
  <si>
    <t xml:space="preserve"> u Al kucištu zatvorenom u vatrostalnom staklu L=1400mm,</t>
  </si>
  <si>
    <t xml:space="preserve"> slijedecih tehnickih karakteristika;</t>
  </si>
  <si>
    <t>proizvocaca Klimaoprema-Samobor</t>
  </si>
  <si>
    <t>Lmino= 2500 m3/h</t>
  </si>
  <si>
    <t xml:space="preserve">  Lsvj.u.= 2000 m3/h</t>
  </si>
  <si>
    <t xml:space="preserve">  dimenzije: 2500 x 1100 x 600 (LxBxH)</t>
  </si>
  <si>
    <t xml:space="preserve">  Pe=130W</t>
  </si>
  <si>
    <t>4. 		Odsisni KANALSKI kuhinjski ventilator</t>
  </si>
  <si>
    <t xml:space="preserve">  za rad s povišenom temperaturom do 100st.C,</t>
  </si>
  <si>
    <t xml:space="preserve">		sa tipskom metalnom nepovratnom</t>
  </si>
  <si>
    <t xml:space="preserve">  zaklopkom s gumenom brtvom,</t>
  </si>
  <si>
    <t xml:space="preserve">		trobrzinski ventilator, tip: SYSTEMAIR</t>
  </si>
  <si>
    <t xml:space="preserve"> ili tehnicki jednakovrijedan proizvod:</t>
  </si>
  <si>
    <t xml:space="preserve">  L=2500m3/h-odsis nape</t>
  </si>
  <si>
    <t xml:space="preserve">  dP=150Pa</t>
  </si>
  <si>
    <t xml:space="preserve">  N=0,30kW (230V, 1ph, 50Hz)</t>
  </si>
  <si>
    <t xml:space="preserve">		c540/480/16kg	</t>
  </si>
  <si>
    <t xml:space="preserve">5.  Tlacni kanalski ventilator za dobavu svježeg </t>
  </si>
  <si>
    <t xml:space="preserve">zraka kuhinjske nape,  trobrzinski ventilator, </t>
  </si>
  <si>
    <t>tip: SYSTEMAIR</t>
  </si>
  <si>
    <t xml:space="preserve">  L=2000m3/h-tlak nape</t>
  </si>
  <si>
    <t xml:space="preserve">  dP=120Pa</t>
  </si>
  <si>
    <t xml:space="preserve">  N=0,28KW (230V, 1ph, 50Hz)</t>
  </si>
  <si>
    <t>6.  Vidnonepropusna rešetka za izjednacavanje pritiska,</t>
  </si>
  <si>
    <t xml:space="preserve">  za ugradnju u vrata, 100mm od poda i 100mm od stropa,</t>
  </si>
  <si>
    <t>slijedecih dimenzija i kolicina:  tip OAS-R</t>
  </si>
  <si>
    <t>Klimaoprema, Samobor,</t>
  </si>
  <si>
    <t>325x125</t>
  </si>
  <si>
    <t>425x225</t>
  </si>
  <si>
    <t>7.  Zracni ventil za odzracivanje sanitarija izracen</t>
  </si>
  <si>
    <t xml:space="preserve">  iz celicnog lima i plastificiran, sa regulatorom protoka,</t>
  </si>
  <si>
    <t xml:space="preserve">  za ugradnju u spušteni strop,</t>
  </si>
  <si>
    <t>tip: ZOV, Klimaoprema, Samobor,</t>
  </si>
  <si>
    <t>ZOV-150</t>
  </si>
  <si>
    <t>90-112m3/h</t>
  </si>
  <si>
    <t xml:space="preserve">8.  Fiksna vanjska aluminijska žaluzija, </t>
  </si>
  <si>
    <t xml:space="preserve">  sa zaštitnom metalnom mrežicom,</t>
  </si>
  <si>
    <t xml:space="preserve">  slijedecih dimenzija i kolicina:</t>
  </si>
  <si>
    <t>AFŽ 300/450</t>
  </si>
  <si>
    <t>AFŽ 300/200</t>
  </si>
  <si>
    <t>9. Isporuka PVC završne kape za PVC cijev</t>
  </si>
  <si>
    <t xml:space="preserve">za izlaz na krov objekta </t>
  </si>
  <si>
    <t>PVC fi100</t>
  </si>
  <si>
    <t>PVC fi150</t>
  </si>
  <si>
    <t>10.  Isporuka PVC cijevi u kompletu sa svim</t>
  </si>
  <si>
    <t xml:space="preserve"> fazonskim komadima, spojnim i ovjesnim priborom.</t>
  </si>
  <si>
    <t xml:space="preserve">11.  Pravokutni i okrugli kanali za razvod uzduha </t>
  </si>
  <si>
    <t xml:space="preserve">izraceni iz pocincanog lima (ST 02 Z 274 DIN 17162, IA klasa) </t>
  </si>
  <si>
    <t xml:space="preserve">izraceni prema OENORM H 6015-2 U ovu stavku ukljuceni </t>
  </si>
  <si>
    <t>su svi fazonski komadi, kanalski nastavci, koljena, ojacanja,</t>
  </si>
  <si>
    <t>usmjerni limovi, ukrute.</t>
  </si>
  <si>
    <t>U stavku uracunati sav spojni i brtveni pribor.</t>
  </si>
  <si>
    <t xml:space="preserve">  Rasporeceno prema dimenzijama:</t>
  </si>
  <si>
    <t>250/400</t>
  </si>
  <si>
    <t>250/450</t>
  </si>
  <si>
    <t>250/500</t>
  </si>
  <si>
    <t>250/750</t>
  </si>
  <si>
    <t>UKUPNO:</t>
  </si>
  <si>
    <t>12.  Zavjesni, pricvrsni i brtveni materijal za spajanje</t>
  </si>
  <si>
    <t xml:space="preserve">  i montažu kanala, profilirano željezo za instaliranje</t>
  </si>
  <si>
    <t xml:space="preserve">  odsisnih ventilatora, RUcNE ZAKLOPKE za balansiranje sistema.</t>
  </si>
  <si>
    <t xml:space="preserve">  Kanale potpuno brtviti u IA klasi nepropusnosti.</t>
  </si>
  <si>
    <t xml:space="preserve">13.  Izolacija zracnih kanala obracenog uzduha </t>
  </si>
  <si>
    <t>negorivom izolacijom sa parnom branom debljine 13 mm</t>
  </si>
  <si>
    <t xml:space="preserve">  -plocasta izolacija</t>
  </si>
  <si>
    <t>14.  Licenje celicnih profila postolja te sveg ostalog</t>
  </si>
  <si>
    <t xml:space="preserve">  ovjesnog konzolnog materijala s dva sloja</t>
  </si>
  <si>
    <t xml:space="preserve">		temeljne boje i jednim premazom laka uz</t>
  </si>
  <si>
    <t xml:space="preserve">  prethodno mehanicko cišcenje.</t>
  </si>
  <si>
    <t>15.  Transport materijala i opreme na</t>
  </si>
  <si>
    <t xml:space="preserve">  gradilište i natrag. </t>
  </si>
  <si>
    <t>16.  Montaža cjelokupne prethodno specificirane</t>
  </si>
  <si>
    <t xml:space="preserve">  opreme do potpune pogonske spremnosti</t>
  </si>
  <si>
    <t xml:space="preserve">		ukljucivo mehanicku montažu elemenata</t>
  </si>
  <si>
    <t xml:space="preserve">  automatske regulacije (elektro spajanje</t>
  </si>
  <si>
    <t xml:space="preserve">  iskljuceno) te probni pogon u trajanju</t>
  </si>
  <si>
    <t xml:space="preserve">		od 48 sati i to sve bez troškova energije </t>
  </si>
  <si>
    <t xml:space="preserve">  i vode.  </t>
  </si>
  <si>
    <t>17.  Elektro spajanje i podešavanje elemenata</t>
  </si>
  <si>
    <t xml:space="preserve">  automatske regulacije od strane ovlaštenog</t>
  </si>
  <si>
    <t xml:space="preserve">  servisa proizvocaca opreme.</t>
  </si>
  <si>
    <t>18.  Fino podešavanje i regulacija istrujnih</t>
  </si>
  <si>
    <t xml:space="preserve">		elemenata. Mjerenje ostvarenih kolicina</t>
  </si>
  <si>
    <t xml:space="preserve">  uzduha, mikroklimatskih uvjeta prostora</t>
  </si>
  <si>
    <t xml:space="preserve">  u ljetnom i zimskom periodu rada te izrada</t>
  </si>
  <si>
    <t>pisanog izvještaja o postignutim parametrima.</t>
  </si>
  <si>
    <t xml:space="preserve">  Troškovi pogonske energije nisu ukljuceni.</t>
  </si>
  <si>
    <t xml:space="preserve">19.  Nepredviceni radovi na zahtjev nadzornog </t>
  </si>
  <si>
    <t xml:space="preserve">inženjera ili temeljem promjena na gradilištu </t>
  </si>
  <si>
    <t>nastalih u toku montaže u vrijednosti od 10%</t>
  </si>
  <si>
    <t xml:space="preserve">vrijednosti instalacije. Radovi moraju biti </t>
  </si>
  <si>
    <t xml:space="preserve">detaljno obrazloženi i prikazani nadzornoj </t>
  </si>
  <si>
    <t xml:space="preserve">službi i investitoru, i sprovedeni kroz </t>
  </si>
  <si>
    <t>gracevinski dnevnik.</t>
  </si>
  <si>
    <t>UKUPNO VENTILACIJA:</t>
  </si>
  <si>
    <t>CENTRALNO GRIJANJE</t>
  </si>
  <si>
    <t>1. Demontaža, premještaj u susjednu prostoriju i ponovna montaža</t>
  </si>
  <si>
    <t xml:space="preserve"> elektricnog termo bloka TB02 toplinskog ucina Q=12kW,</t>
  </si>
  <si>
    <t xml:space="preserve"> u kompletu sa svim spojnim i ovjesnin priborom.</t>
  </si>
  <si>
    <t>2. Servis 3 elektricna termo bloka toplinskog ucina</t>
  </si>
  <si>
    <t xml:space="preserve"> 2x Q=32kW i 1x Q=12kW</t>
  </si>
  <si>
    <t xml:space="preserve"> sa cirkulacijskim pumpama toplovodnog grijanja,</t>
  </si>
  <si>
    <t xml:space="preserve"> od strane ovlaštenog servisera.</t>
  </si>
  <si>
    <t>3. Isporuka aluminijskih clankastih radijatora ukljucivo</t>
  </si>
  <si>
    <t xml:space="preserve">	brtve, cepove, nožice i pricvrsnice,</t>
  </si>
  <si>
    <t xml:space="preserve"> sa zaobljenim rubovima,</t>
  </si>
  <si>
    <t xml:space="preserve"> proizvoca Lipovica, tip:ORION</t>
  </si>
  <si>
    <t>E 600/95</t>
  </si>
  <si>
    <t>cl.kom</t>
  </si>
  <si>
    <t>visina clanka 680mm</t>
  </si>
  <si>
    <t xml:space="preserve"> širina clanka 80mm</t>
  </si>
  <si>
    <t xml:space="preserve"> dubina clanka 95mm</t>
  </si>
  <si>
    <t xml:space="preserve"> radijatorska pricvrsnica </t>
  </si>
  <si>
    <t>radijatorska nožica</t>
  </si>
  <si>
    <t>E 350/95</t>
  </si>
  <si>
    <t>visina clanka 430mm</t>
  </si>
  <si>
    <t xml:space="preserve"> radijatorska pricvrsnica</t>
  </si>
  <si>
    <t>4. Isporuka ventila za radijatorsko grijanje sa termostatskom glavom.</t>
  </si>
  <si>
    <t xml:space="preserve"> R 1/2” </t>
  </si>
  <si>
    <t>5.Isporuka radijatorske prigušnice u prikljucnom kompletu, sve :</t>
  </si>
  <si>
    <t xml:space="preserve"> R 1/2”</t>
  </si>
  <si>
    <t>6. Isporuka bakrenih cijevi za razvodnu i prikljucnu mrežu grijanja,</t>
  </si>
  <si>
    <t xml:space="preserve"> ukljucivo sa redukcijama i spojnim holenderima;</t>
  </si>
  <si>
    <t>fi 35 x 1,5 mm</t>
  </si>
  <si>
    <t>fi 28 x 1,5 mm</t>
  </si>
  <si>
    <t>fi 18 x 1 mm</t>
  </si>
  <si>
    <t>fi 15 x 1 mm</t>
  </si>
  <si>
    <t>7. Isporuka automatskih odzracnih ventila kao tip FLEXVENT NO 10</t>
  </si>
  <si>
    <t>8. Isporuka slavine za punjenje i pražnjenje s navojnim prikljuckom</t>
  </si>
  <si>
    <t xml:space="preserve"> i zaštitnom kapom vretena.</t>
  </si>
  <si>
    <t xml:space="preserve"> R 3/8”</t>
  </si>
  <si>
    <t>9. Isporuka rucnih odzracnih pipaca za ugradnju na radijator i grijac rucnika</t>
  </si>
  <si>
    <t xml:space="preserve"> R 1/4” </t>
  </si>
  <si>
    <t xml:space="preserve">10. Isporuka ucvršcenja bakrenog cijevovoda za montažu u zid i montažu u </t>
  </si>
  <si>
    <t xml:space="preserve"> pod, cijevnih tuljaka na prolazu kroz zidove,ukrasne rozete iz plasticnih </t>
  </si>
  <si>
    <t xml:space="preserve"> materijala na svim prolazima cijevi kroz zidove, materijala za</t>
  </si>
  <si>
    <t xml:space="preserve"> brtvljenje izmecu cijevi i proturne cijev iz elasticnog materijala,</t>
  </si>
  <si>
    <t xml:space="preserve"> materijal za pricvršcenje i spajanje te sav ostali potrebni sitni </t>
  </si>
  <si>
    <t xml:space="preserve">	potrošni materijal, fitinzi, hermeto spojnice, žica za varenje, plin</t>
  </si>
  <si>
    <t xml:space="preserve">	i ostali sitni potrošni materijal.</t>
  </si>
  <si>
    <t>11. Izolacija bakrenog cjevovoda u podu izolacijom debljine 13 mm i dimenzije</t>
  </si>
  <si>
    <t xml:space="preserve"> 	prema ugracenim cjevima.</t>
  </si>
  <si>
    <t xml:space="preserve">12. Zaštita izolacije bakrenog cjevovoda u šlicu zidu, kao termoplasticna </t>
  </si>
  <si>
    <t xml:space="preserve"> orebrena cijev dimenzije prema ugracenim cjevima.</t>
  </si>
  <si>
    <t>13. Isporuka hvataca necistoce  “Y”</t>
  </si>
  <si>
    <t>NO 32</t>
  </si>
  <si>
    <t>NO 25</t>
  </si>
  <si>
    <t>14. Prijevoz kompletnog materijala i alata na radilište te povrat alata</t>
  </si>
  <si>
    <t xml:space="preserve"> natrag.</t>
  </si>
  <si>
    <t xml:space="preserve">15. Montaža navedene opreme do potpune pogonske spremnosti, </t>
  </si>
  <si>
    <t xml:space="preserve"> ukljucujuci ispitivanje na tlak, puštanje u pogon, balansiranje sistema, </t>
  </si>
  <si>
    <t xml:space="preserve">	toplu probu te davanje uputstava korisniku instalacije.</t>
  </si>
  <si>
    <t xml:space="preserve"> U ovu stavku uracunati i elektro spajanje regulacionih elemenata</t>
  </si>
  <si>
    <t xml:space="preserve"> sa plinskim kombi aparatom, kao i pribavljanje svih potrebnih atesta.</t>
  </si>
  <si>
    <t>UKUPNO CENTRALNO GRIJANJE:</t>
  </si>
  <si>
    <t>HLADENJE OBJEKTA</t>
  </si>
  <si>
    <t>1.	MULTIinverter elektricna toplinska pumpa</t>
  </si>
  <si>
    <t>za grijanje i hlacenje prostora, koja zadržava ucin grijanja do -15st.C,</t>
  </si>
  <si>
    <t>a funkcija grijanja zadržana do -25st.C,</t>
  </si>
  <si>
    <t>koji se sastoji od jedne vanjske jedinice i dvije ZIDNE unutrašnje jedinice,</t>
  </si>
  <si>
    <t>rashladnog kapaciteta Qh=7,2kW</t>
  </si>
  <si>
    <t>i toplinskog kapaciteta Qg=8,6kW</t>
  </si>
  <si>
    <t>ukljucivo elektronski prostorni regulator i daljinski upravljac,</t>
  </si>
  <si>
    <t xml:space="preserve">punjenje ekološkim freonom R410A (bez FCKW-a), </t>
  </si>
  <si>
    <t>sa zeolitnim filterom za zrak, te spojni bakreni vod,</t>
  </si>
  <si>
    <t xml:space="preserve">sa izolacijom debljine 9mm i sa  PVC fi16 kondenzacijskom cijevi </t>
  </si>
  <si>
    <t>(spojiti vanjsku i unutrašnju jedinicu na najbliži sifon)</t>
  </si>
  <si>
    <t>zajedno sa svim spojnim i ovjesnim materijalom,</t>
  </si>
  <si>
    <t xml:space="preserve">proizvocac Mitsubishi Electric, </t>
  </si>
  <si>
    <t>ili tehnicki jednakovrijedan proizvod.</t>
  </si>
  <si>
    <t>Vanjska jedinica tip:   V/Š/D= 710/840/330mm</t>
  </si>
  <si>
    <t xml:space="preserve">    Qh=7,2kW</t>
  </si>
  <si>
    <t xml:space="preserve">    Qg=8,6kW</t>
  </si>
  <si>
    <t xml:space="preserve">    Pe=2,28kW, 230V, 50Hz</t>
  </si>
  <si>
    <t xml:space="preserve">    </t>
  </si>
  <si>
    <t>Unutrašnja jedinica tip 01:  V/Š/D= 299/798/195mm</t>
  </si>
  <si>
    <t xml:space="preserve">    Qh=3,5kW</t>
  </si>
  <si>
    <t xml:space="preserve">    Qg=4,0kW</t>
  </si>
  <si>
    <t xml:space="preserve">    kondenzat PVC fi16 </t>
  </si>
  <si>
    <t xml:space="preserve">    tekucinski razvod 1/4”</t>
  </si>
  <si>
    <t xml:space="preserve">    plinski razvod 1/2”</t>
  </si>
  <si>
    <t>Unutrašnja jedinica tip 02:  V/Š/D= 299/798/195mm</t>
  </si>
  <si>
    <t>2. MULTIinverter elektricna toplinska pumpa</t>
  </si>
  <si>
    <t>za grijanje i hlacenje prostora,</t>
  </si>
  <si>
    <t>koji se sastoji od jedne vanjske jedinice i tri ZIDNE unutrašnje jedinice,</t>
  </si>
  <si>
    <t>rashladnog kapaciteta Qh=12,2kW</t>
  </si>
  <si>
    <t>i toplinskog kapaciteta Qg=14,0kW</t>
  </si>
  <si>
    <t>Vanjska jedinica tip:   V/Š/D= 1070/900/320mm</t>
  </si>
  <si>
    <t xml:space="preserve">    Qh=12,2kW</t>
  </si>
  <si>
    <t xml:space="preserve">    Qg=14,0kW</t>
  </si>
  <si>
    <t xml:space="preserve">    Pe=4,05kW, 230V, 50Hz</t>
  </si>
  <si>
    <t>Unutrašnja jedinica tip 03:  V/Š/D= 299/798/195mm</t>
  </si>
  <si>
    <t xml:space="preserve">    Qh=5,0kW</t>
  </si>
  <si>
    <t xml:space="preserve">    Qg=5,8kW</t>
  </si>
  <si>
    <t>3. MULTIinverter elektricna toplinska pumpa</t>
  </si>
  <si>
    <t xml:space="preserve">    Qh=4,2kW</t>
  </si>
  <si>
    <t xml:space="preserve">    Qg=5,4kW</t>
  </si>
  <si>
    <t>4. MULTIinverter elektricna toplinska pumpa</t>
  </si>
  <si>
    <t>koji se sastoji od jedne vanjske jedinice i cetiri ZIDNE unutrašnje jedinice,</t>
  </si>
  <si>
    <t>rashladnog kapaciteta Qh=15,5kW</t>
  </si>
  <si>
    <t>i toplinskog kapaciteta Qg=18,0kW</t>
  </si>
  <si>
    <t>Vanjska jedinica tip:   V/Š/D= 1350/950/330mm</t>
  </si>
  <si>
    <t xml:space="preserve">    Qh=15,5kW</t>
  </si>
  <si>
    <t xml:space="preserve">    Qg=18,0kW</t>
  </si>
  <si>
    <t xml:space="preserve">    Pe=4,83kW, 230V, 50Hz</t>
  </si>
  <si>
    <t>Unutrašnja jedinica tip 04:  V/Š/D= 299/798/195mm</t>
  </si>
  <si>
    <t xml:space="preserve">5. Spojni bakreni razvod sa izolacijom debljine 9mm </t>
  </si>
  <si>
    <t xml:space="preserve"> za spoj vanjske jedinice sa unutrašnjim zidnim jedinicama</t>
  </si>
  <si>
    <t xml:space="preserve"> slijedecih dimenzija:</t>
  </si>
  <si>
    <t>tekucinski razvod  Cu 1/4”</t>
  </si>
  <si>
    <t>plinski razvod   Cu 1/2”</t>
  </si>
  <si>
    <t>6. Cijev za odvod kondenzata do najbliže odvodnje preko sifona</t>
  </si>
  <si>
    <t xml:space="preserve">PVC fi16 </t>
  </si>
  <si>
    <t xml:space="preserve">PVC fi25 </t>
  </si>
  <si>
    <t>7. Prijevoz kompletnog materijala i alata na gradilište te povrat alata</t>
  </si>
  <si>
    <t xml:space="preserve">8. Servis i probni pogon od strane </t>
  </si>
  <si>
    <t xml:space="preserve"> ovlaštenog servisera sa izdavanjem  zapisnika.</t>
  </si>
  <si>
    <t xml:space="preserve">9. Montaža navedene opreme do potpune pogonske spremnosti, </t>
  </si>
  <si>
    <t xml:space="preserve"> ukljucujuci ispitivanje, puštanje u pogon, balansiranje sistema, </t>
  </si>
  <si>
    <t xml:space="preserve"> probu te davanje uputstava korisniku instalacije.</t>
  </si>
  <si>
    <t xml:space="preserve">UKUPNO HLADENJE </t>
  </si>
  <si>
    <t>R E K A P I T U L A C I J A:</t>
  </si>
  <si>
    <t xml:space="preserve">S V E U K U P N O : </t>
  </si>
  <si>
    <t>Fi 100</t>
  </si>
  <si>
    <t>TROŠKOVNIK INSTALACIJA</t>
  </si>
  <si>
    <t>VODOVODA I KANALIZACIJE</t>
  </si>
  <si>
    <t>a)</t>
  </si>
  <si>
    <t>INSTALACIJA VODOVODA</t>
  </si>
  <si>
    <t>I</t>
  </si>
  <si>
    <t xml:space="preserve">GRAĐEVINSKI RADOVI </t>
  </si>
  <si>
    <t>1.</t>
  </si>
  <si>
    <t>Strojni iskop za vodovodne cijevi u tlu III kat. prosječne dubine rova 1,60 m sa pravilnim odsjecanjem bočnih strana i dna, te odbacivanje iskopanog materijala na 1,00 m od ruba rova.</t>
  </si>
  <si>
    <t>2.</t>
  </si>
  <si>
    <t>Dobava sitnog pijeska i izrada posteljice debljine sloja 15 cm.</t>
  </si>
  <si>
    <t>3.</t>
  </si>
  <si>
    <t>Strojno zatrpavanje rova nakon izvršene montaže i tlačne probe vodovodnih cijevi. Zatrpavanje se izvodi sa zemljanim materijalom iz iskopa u slojevima od 30 cm uz nabijanje svakog sloja nabijačima.</t>
  </si>
  <si>
    <t>4.</t>
  </si>
  <si>
    <t>Strojni utovar, odvoz i razastiranje preostalog materijala od iskopa na prosječnu udaljenost od 15,00 km. Usvojena rastresitost iznosi 15%.</t>
  </si>
  <si>
    <t>na deponij</t>
  </si>
  <si>
    <t>5.</t>
  </si>
  <si>
    <t>Izrada zidnih i podnih usjeka za polaganje vodovodnih cijevi, sa zatvaranjem usjeka cementnim mortom M10, nakon montaže i ispitivanja cjevovoda.</t>
  </si>
  <si>
    <t xml:space="preserve">   GRAĐEVINSKI  RADOVI:                                     </t>
  </si>
  <si>
    <t>MONTERSKI RADOVI</t>
  </si>
  <si>
    <t xml:space="preserve">Nabava, doprema i ugradnja PEHD vodovodnih cijevi prema odrednicama DIN 8074 i DIN 8075  u kvaliteti ISO 9001-9002. Spajanje  elektrospojnicama. Cijev se polaže u rov na pripremljenu pješčanu posteljicu. </t>
  </si>
  <si>
    <t xml:space="preserve">Obračun po m' montirane cijevi </t>
  </si>
  <si>
    <t>cijevi vođene u zemlji do objekta:</t>
  </si>
  <si>
    <t xml:space="preserve">DN 25mm             </t>
  </si>
  <si>
    <t xml:space="preserve">DN 32mm             </t>
  </si>
  <si>
    <t>Dobava i montiranje ekoplastičnih tlačnih cijevi tipa PPR Green i odgovarajučih fitinga. Cijevi koje se polažu u zemlji izolirati vrućim premazom bitumena (resitol) i omotati dekorodal trakom. Svi izlazi instalacije iz zida moraju biti sakriveni rozetom. Pričvrščenje cijevi vršiti pomoću kuka i obujmica na razmacima od 2 m te kod svakog ogranka. Nije dozvoljeno savijanje cijevi.Po završenoj montaži vodove treba ispitati na tlak od 15 bara (15 kp/cm2). Obračun po m' montirane cijevi prema profilu s izolacijom.</t>
  </si>
  <si>
    <t xml:space="preserve"> cijevi ovješene o strop prizemlja, izolirane </t>
  </si>
  <si>
    <t xml:space="preserve">DN 32 mm             </t>
  </si>
  <si>
    <t xml:space="preserve">DN 25 mm             </t>
  </si>
  <si>
    <t xml:space="preserve">DN 20 mm             </t>
  </si>
  <si>
    <t xml:space="preserve">DN 15 mm             </t>
  </si>
  <si>
    <t xml:space="preserve"> cijevi za kratka spajanja po sanitarnim čvorovima izolirane filcom i povezane paljenom žicom:</t>
  </si>
  <si>
    <t>Dobava i montiranje mjedenog protočnog ventila s ispusnom slavinom, komplet. Ventili se montiraju na priključku usponskih vodova, a u skladu s monterskim shemama vodovoda. Obračun po komadu prema profilu.</t>
  </si>
  <si>
    <t xml:space="preserve">DN 15mm             </t>
  </si>
  <si>
    <t>Dobava i montiranje ravnog propusnog ventila za ugradnju s kromiranom kapom na navoj, komplet  ( ugradnja na grupama sanitarija ).</t>
  </si>
  <si>
    <t>Dobava i montaža kutnih ventila 15/10 za montažu ispod umivaonika, sudopera, pored WC-a. Obračun po komadu ugrađenog ventila</t>
  </si>
  <si>
    <t>6.</t>
  </si>
  <si>
    <t>Dobava i montaža podžbuknih ventila s obostranim unutarnjim navojem, sa poniklanom rozetom i kapicom.</t>
  </si>
  <si>
    <t>7.</t>
  </si>
  <si>
    <t xml:space="preserve">Izrada priključka vode za pripremu potrosnje tople vode s ventilom te izrada priključka odvoda tople vode. </t>
  </si>
  <si>
    <t>el bojler 50l</t>
  </si>
  <si>
    <t>el bojler 5l</t>
  </si>
  <si>
    <t>8.</t>
  </si>
  <si>
    <t>Dobava i montaža vratašca na mjestima ventila s kolom i ispustom.</t>
  </si>
  <si>
    <t xml:space="preserve">   </t>
  </si>
  <si>
    <t>vel. 200 x 200 mm</t>
  </si>
  <si>
    <t>9.</t>
  </si>
  <si>
    <t>Dobava, doprema i montaža uređaja za omekšavanje vode. Uređaj se ugradju u kuhinju. Potrebna količina omekšane vode je 0,4 l/sek. U stavku uračunati sav potrebanpribor za montažu.</t>
  </si>
  <si>
    <t>10</t>
  </si>
  <si>
    <t>Ispitivanje gotove montirane vodovodne mreže na tlak od 12 bara u trajanju najmanje 6 sati ili dok se ne pregledaju svi spojevi.</t>
  </si>
  <si>
    <t>11</t>
  </si>
  <si>
    <t>Ispiranje i dezinfekcija cijevne mreže prije puštanja u upotrebu te pribavljanje ispravnog mikrobiološkog nalaza. Obračunati prema stvarnoj fakturi nadležne organizacije.</t>
  </si>
  <si>
    <t xml:space="preserve">   MONTERSKI  RADOVI:                                     </t>
  </si>
  <si>
    <t>UKUPNO I + II</t>
  </si>
  <si>
    <t xml:space="preserve">INVESTITOR: J.U. NACIONALNI PARK PLITVIČKA JEZERA
</t>
  </si>
  <si>
    <t xml:space="preserve"> </t>
  </si>
  <si>
    <t xml:space="preserve">GRAĐEVINA: ULAZ 1 'SLAP' – RASTOVAČA INFORMATIVNI CENTAR I RESTORAN 'SLAP
</t>
  </si>
  <si>
    <t xml:space="preserve">LOKACIJA: k.č. 194/3, 194/4, 194/5, 194/6, k.o. Plitvička jezera
</t>
  </si>
  <si>
    <t>ELARH PROJEKT d.o.o.</t>
  </si>
  <si>
    <t>Šoljanova 1a</t>
  </si>
  <si>
    <t>Troškovnik ELEKTROINSTALACIJA</t>
  </si>
  <si>
    <t>10000 Zagreb</t>
  </si>
  <si>
    <t xml:space="preserve">  T R O Š K O V N I K 
  ELEKTROINSTALACIJA</t>
  </si>
  <si>
    <t>PROJEKTANT :</t>
  </si>
  <si>
    <t>Milan Hršak dipl.ing.el.</t>
  </si>
  <si>
    <t>redni
 broj</t>
  </si>
  <si>
    <t>opis radova</t>
  </si>
  <si>
    <t>jedinica
mjere</t>
  </si>
  <si>
    <t>količina</t>
  </si>
  <si>
    <t>jedinična
cijena</t>
  </si>
  <si>
    <t>ukupno</t>
  </si>
  <si>
    <t>XII</t>
  </si>
  <si>
    <t>TEHNIČKI UVJETI IZVEDBE I OSIGURANJE KONTROLE KVALITETE</t>
  </si>
  <si>
    <t>NAPUTAK: OBVEZE IZVOĐAČA RADOVA</t>
  </si>
  <si>
    <t>Cijena za svaku točku ovog troškovnika mora obuhvatiti dobavu, montažu, spajanje, po potrebi uzemljenje, te dovođenje u stanje potpune funkcionalnosti.</t>
  </si>
  <si>
    <t>Radeći ponudu obavezno pročitati tehnički opis i pregledati nacrte, te tražiti pojašnjenje prije zaključivanja ponude.</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</si>
  <si>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</si>
  <si>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 xml:space="preserve">RAZDJELNICI </t>
  </si>
  <si>
    <t>Razdjelnik GRO</t>
  </si>
  <si>
    <t>Izveden je kao ugradni ormar, u zaštiti IP65,  izrađen od plasificiranog čeličnog lima,  sa svim montažnim priborom.Razvodni ormar je   ukupnih dimenzija ŠxVxD,  600x2000x200 mm u kojem je smještena oprema :</t>
  </si>
  <si>
    <t xml:space="preserve">Tropolni kompaktni niskonaponski prekidač tip DOEPKE  S 400 NJ,TM 400A ,  50kA, opremljen podesivom zaštitom od preopterećenja i kratkog spoja  i naponskim okidačem SHT  </t>
  </si>
  <si>
    <t>ili jednakovrijedan proizvod:</t>
  </si>
  <si>
    <t xml:space="preserve">Osigurač-rastavljač za sabirnički susatav 60mm , tip kao  Jean Muller LTL2-3/9/60/AU  400/250A  </t>
  </si>
  <si>
    <t xml:space="preserve">Četveropolni katodni odvodnik prenapona, TY 275 -40  4P  </t>
  </si>
  <si>
    <t xml:space="preserve">strujni mjerni transformator 100/5A, klasa 0,5 </t>
  </si>
  <si>
    <t xml:space="preserve">Osigurač-rastavljač za sabirnički susatav 60mm , tip kao  Jean Muller LTL00-3/9/60  160/40A </t>
  </si>
  <si>
    <t>Osigurač-rastavljač za sabirnički susatav 60mm , tip kao  Jean Muller LTL00-3/9/60  160/63A</t>
  </si>
  <si>
    <t>Osigurač-rastavljač za sabirnički susatav 60mm , tip kao  Jean Muller LTL00-3/9/60  160/125A</t>
  </si>
  <si>
    <t>Osigurač-rastavljač za sabirnički susatav 60mm , tip kao  Jean Muller LTL00-3/9/60 160/--A, rezerva</t>
  </si>
  <si>
    <t xml:space="preserve">Autom. Instalacijski prekidač  kao Doepke  B6A , 10 kA, 1p   </t>
  </si>
  <si>
    <t>Ugradnja elemenata,sabirnice i nosači sabirnica,ožičenje,označavanje,funkcionalno ispitivanje prije isporuke,atesti,ispitni protokol,korisnička dokumentacija</t>
  </si>
  <si>
    <t xml:space="preserve">Ukupno razdjelnik GRO </t>
  </si>
  <si>
    <t>Razdjelnik R-RESTORAN</t>
  </si>
  <si>
    <t>Sklopka tip.kao DOEPKE DIS 250A, 25kA</t>
  </si>
  <si>
    <t xml:space="preserve">Četveropolni katodni odvodnik prenapona, TY1 275-40, 4p,  I+II   </t>
  </si>
  <si>
    <t xml:space="preserve">Struja zaštitna sklopka ZUDS kao DOEPKE  100/0,03A, 10 kA , 4P  </t>
  </si>
  <si>
    <t xml:space="preserve">Struja zaštitna sklopka ZUDS kao DOEPKE  40/0,03A, 10 kA , 4P  </t>
  </si>
  <si>
    <t xml:space="preserve">Autom. Instalacijski prekidač  kao Doepke  B25A , 10 kA, 3p   </t>
  </si>
  <si>
    <t xml:space="preserve">Autom. Instalacijski prekidač  kao Doepke  B16A , 10 kA, 1p   </t>
  </si>
  <si>
    <t xml:space="preserve">Autom. Instalacijski prekidač  kao Doepke  B10A , 10 kA, 1p   </t>
  </si>
  <si>
    <t xml:space="preserve">Autom. Instalacijski prekidač  kao Doepke  B20A , 10 kA, 1p   </t>
  </si>
  <si>
    <t xml:space="preserve">Autom. Instalacijski prekidač  kao Doepke  B20A , 10 kA, 3p   </t>
  </si>
  <si>
    <t xml:space="preserve">Autom. Instalacijski prekidač  kao Doepke  B16A , 10 kA, 3p   </t>
  </si>
  <si>
    <t xml:space="preserve">Autom. Instalacijski prekidač  kao Doepke  B10A , 10 kA, 3p   </t>
  </si>
  <si>
    <t>Grebenasta sklopka kao Rkončar  BS 20-51 0-1-2, 20A</t>
  </si>
  <si>
    <t xml:space="preserve">Sklopnik kao  DOEPKE HS 20-40 230V/25A </t>
  </si>
  <si>
    <t>Ukupno razdjelnik R-RESTORAN</t>
  </si>
  <si>
    <t>Razdjelnik R-MJENJAČNICA</t>
  </si>
  <si>
    <t>Dobava, postava i spajanje : Ugradni peteroredni modularni ormar,  u zaštiti IP55, izrađen od  čeličnog lima obojen temeljnom i bijelom lak bojom. Ormar sadrži slijedeću opremu:</t>
  </si>
  <si>
    <t>Sklopka tip.kao DOEPKE DIS 100A, 3 p, 25kA</t>
  </si>
  <si>
    <t>Grebenasta sklopka kao R-Končar  BS 20-51 0-1-2, 20A</t>
  </si>
  <si>
    <t>Ukupno razdjelnik R-MJENJAČNICA</t>
  </si>
  <si>
    <t>Razdjelnik R-INFO</t>
  </si>
  <si>
    <t>Dobava, postava i spajanje : nadgradni modularni ormar,  u zaštiti IP55, izrađen od  čeličnog lima obojen temeljnom i bijelom lak bojom.Razvodni ormar je ukupnih dimenzija (šxvxd) 800x1000x200 mm. Ormar sadrži slijedeću opremu:</t>
  </si>
  <si>
    <t xml:space="preserve">Sklopka tip.kao DOEPKE DIS 100A, 3 p  </t>
  </si>
  <si>
    <t>Četveropolni katodni odvodnik prenapona, TY1 275-40, 4p,  I+II   ili jednakovrijedan proizvod</t>
  </si>
  <si>
    <t xml:space="preserve">Autom. Instalacijski prekidač  kao Doepke  B25A , 10 kA, 1p   </t>
  </si>
  <si>
    <t xml:space="preserve">Autom. Instalacijski prekidač  kao Doepke  B10A , 10 kA, 1p   ili jednakovrijedan proizvod </t>
  </si>
  <si>
    <t>bistabilni rele</t>
  </si>
  <si>
    <t>Ukupno razdjelnik R-INFO</t>
  </si>
  <si>
    <r>
      <t xml:space="preserve">Dobava, isporuka i montaža uređaja za automatsku </t>
    </r>
    <r>
      <rPr>
        <b/>
        <u/>
        <sz val="9"/>
        <rFont val="Calibri"/>
        <family val="2"/>
        <charset val="238"/>
        <scheme val="minor"/>
      </rPr>
      <t>kompenzaciju jalove snage 30 kVAr-a</t>
    </r>
    <r>
      <rPr>
        <sz val="9"/>
        <rFont val="Calibri"/>
        <family val="2"/>
        <charset val="238"/>
        <scheme val="minor"/>
      </rPr>
      <t xml:space="preserve"> 
 ,  </t>
    </r>
    <r>
      <rPr>
        <b/>
        <i/>
        <sz val="9"/>
        <rFont val="Calibri"/>
        <family val="2"/>
        <charset val="238"/>
        <scheme val="minor"/>
      </rPr>
      <t>tip KP - P30P8</t>
    </r>
    <r>
      <rPr>
        <sz val="9"/>
        <rFont val="Calibri"/>
        <family val="2"/>
        <charset val="238"/>
        <scheme val="minor"/>
      </rPr>
      <t xml:space="preserve"> EXTEH  ili jednakovrijedan proizvod,    sukladno standardu IEC 60831-1/2 i EN 60831-1/2 , razdjelnik tip kao </t>
    </r>
    <r>
      <rPr>
        <b/>
        <i/>
        <sz val="9"/>
        <rFont val="Calibri"/>
        <family val="2"/>
        <charset val="238"/>
        <scheme val="minor"/>
      </rPr>
      <t>Rittal 1800 x 500 x 300 mm,</t>
    </r>
    <r>
      <rPr>
        <sz val="9"/>
        <rFont val="Calibri"/>
        <family val="2"/>
        <charset val="238"/>
        <scheme val="minor"/>
      </rPr>
      <t xml:space="preserve"> koristi se regulator  sa min  8 stupnjeva R 485 komunikacijom mode - bus, s finom regulacijom odziva manje od 20 ms, mjerenja s tri strujna transformatora, s pripadajućim programom za daljinski nadzor i dodatnim monitorom za istovremeni prikaz napona, struje, cos Φ, snage, sklopnicima KFS, prema IEC 60947. Za primjenu u mrežama s udjelom nelinearnih potrošača preko 
20% i MTU  frekvencijom većom od 250 Hz. Predviđeni su kondenzatori  opremljeni su otpornicima za pražnjenje 440 V i sa ugrađenim antirezonantnim </t>
    </r>
    <r>
      <rPr>
        <b/>
        <i/>
        <sz val="9"/>
        <rFont val="Calibri"/>
        <family val="2"/>
        <charset val="238"/>
        <scheme val="minor"/>
      </rPr>
      <t>prigušnicama za prigušenje naponske distorzije. 
Faktor prigušenja   p = 7 % ( fr = 189 Hz).</t>
    </r>
    <r>
      <rPr>
        <sz val="9"/>
        <rFont val="Calibri"/>
        <family val="2"/>
        <charset val="238"/>
        <scheme val="minor"/>
      </rPr>
      <t xml:space="preserve"> 
</t>
    </r>
  </si>
  <si>
    <t>Komplet sa spajanjem i puštanjem u pogon s dolje specificiranom opremom :</t>
  </si>
  <si>
    <t xml:space="preserve">kompaktni zaštitni prekidač kao  E125NJ TM125 (80-125), daljinski isklop SHT 200-240V naponski okidač, termomagnetska zaštita prema IEC 60947-2, komplet sa tipkalom za daljinski isklop ili jednakovrijedan proizvod </t>
  </si>
  <si>
    <t>osigurač rastavna sklopka, tip kao TYTAN DOEPKE s D0  3P patronama 10A</t>
  </si>
  <si>
    <t>osigurač rastavna sklopka, tip kao TYTAN DOEPKE 
s D0  3P patronama 16A</t>
  </si>
  <si>
    <t xml:space="preserve">kondenzatorska baterija 2,5 kVAr nazivnog napona 440V s dozvoljenim preopterećenjem 1,1Un i 1,3In  tip kao  RTR MA/C/CE/ TER RCT  ili jednakovrijedan proizvod </t>
  </si>
  <si>
    <t xml:space="preserve">kondenzatorska baterija 5kVAr nazivnog napona 440V s dozvoljenim preopterećenjem 1,1Un i 1,3In  tip kao  RTR MA/C/CE/ TER RCT  ili jednakovrijedan proizvod </t>
  </si>
  <si>
    <t xml:space="preserve">kondenzatorski sklopnik za prigušene uređaje  
12,5 kVAr-a  kao C/S  ili jednakovrijedan proizvod </t>
  </si>
  <si>
    <t>filterska prigušnica 2,5 kVAr p=7%</t>
  </si>
  <si>
    <t>filterska prigušnica 5 kVAr p=7%</t>
  </si>
  <si>
    <r>
      <t>regulator faktora snage s min  8 stupnjeva, R485</t>
    </r>
    <r>
      <rPr>
        <sz val="9"/>
        <rFont val="Calibri"/>
        <family val="2"/>
        <charset val="238"/>
        <scheme val="minor"/>
      </rPr>
      <t xml:space="preserve"> prikaz viših harmonika , struja , napon, snaga sa padajućim programom</t>
    </r>
  </si>
  <si>
    <t xml:space="preserve">automatski instalacijski prekidač 3P  C4A      10kA , kao DOEPKE  ili jednakovrijedan </t>
  </si>
  <si>
    <t xml:space="preserve">automatski instalacijski prekidač 1P  C6A ,    10kA  kao DOEPKE  ili jednakovrijedan </t>
  </si>
  <si>
    <t xml:space="preserve">automatski instalacijski prekidač 1P B10A ,   10kA kao DOEPKE  ili jednakovrijedan </t>
  </si>
  <si>
    <t xml:space="preserve">grebenasta preklopka In 10A, 3P , kao KONČAR  ili jednakovrijedan proizvod </t>
  </si>
  <si>
    <t xml:space="preserve">ventilator min izmjene zraka 120 m3/ h s termostatom </t>
  </si>
  <si>
    <t>sitni materijal, dodatna zaštitna, spojna i montažna oprema</t>
  </si>
  <si>
    <t xml:space="preserve">Uz  kompenzacijski uređaj obavezno isporučiti:
- izjavu o sukladnosti
- zapisnik o ispitivanju 
- certifikate za svu ugrađenu opremu 
- uputstva za rukovanje i održavanje 
</t>
  </si>
  <si>
    <t>Kompenzacijski uređaj 30 kVAr
kao tip KP-P 30/P8 S prigušnicama 
renomiranog proizvođača "EXTEH d.o.o.", Zagreb  ili jednako vrijedan proizvod</t>
  </si>
  <si>
    <t>jednakovrijedan proizvod :</t>
  </si>
  <si>
    <t>RAZDJELNICI  UKUPNO:</t>
  </si>
  <si>
    <t xml:space="preserve">ENERGETSKI RAZVOD </t>
  </si>
  <si>
    <t>Dobava, doprema, ugradnja i spajanje sveg potrebnog materijala i pribora za polaganje kabela energetskog i signalnog razvoda. Stavke nuditi komplet sa dubljenjem zidova i podova, polaganje novog kabela, uvođenje kabela u razdjelnike, sve elektromontažne radove, te sav materijal i pribor potreban za potpuno funkcioniranje stavke. Polaže se:</t>
  </si>
  <si>
    <t xml:space="preserve">kabel NHXH FE180/E90 3x1,5mm2 </t>
  </si>
  <si>
    <t xml:space="preserve">kabel NYY 4x70mm2 +  1x50mm2 </t>
  </si>
  <si>
    <r>
      <t>kabel NYY-J 5x25 mm</t>
    </r>
    <r>
      <rPr>
        <vertAlign val="superscript"/>
        <sz val="9"/>
        <rFont val="Calibri"/>
        <family val="2"/>
        <charset val="238"/>
        <scheme val="minor"/>
      </rPr>
      <t>2</t>
    </r>
  </si>
  <si>
    <r>
      <t>kabel NYY-J 5x16 mm</t>
    </r>
    <r>
      <rPr>
        <vertAlign val="superscript"/>
        <sz val="9"/>
        <rFont val="Calibri"/>
        <family val="2"/>
        <charset val="238"/>
        <scheme val="minor"/>
      </rPr>
      <t>2</t>
    </r>
  </si>
  <si>
    <r>
      <t>kabel NYY-J 5x4 mm</t>
    </r>
    <r>
      <rPr>
        <vertAlign val="superscript"/>
        <sz val="9"/>
        <rFont val="Calibri"/>
        <family val="2"/>
        <charset val="238"/>
        <scheme val="minor"/>
      </rPr>
      <t>2</t>
    </r>
  </si>
  <si>
    <r>
      <t>kabel NYY-J 5x6 mm</t>
    </r>
    <r>
      <rPr>
        <vertAlign val="superscript"/>
        <sz val="9"/>
        <rFont val="Calibri"/>
        <family val="2"/>
        <charset val="238"/>
        <scheme val="minor"/>
      </rPr>
      <t>2</t>
    </r>
  </si>
  <si>
    <r>
      <t>kabel NYY-J 5x2,5 mm</t>
    </r>
    <r>
      <rPr>
        <vertAlign val="superscript"/>
        <sz val="9"/>
        <rFont val="Calibri"/>
        <family val="2"/>
        <charset val="238"/>
        <scheme val="minor"/>
      </rPr>
      <t>2</t>
    </r>
  </si>
  <si>
    <r>
      <t>kabel NYY-J 5x1,5 mm</t>
    </r>
    <r>
      <rPr>
        <vertAlign val="superscript"/>
        <sz val="9"/>
        <rFont val="Calibri"/>
        <family val="2"/>
        <charset val="238"/>
        <scheme val="minor"/>
      </rPr>
      <t>2</t>
    </r>
  </si>
  <si>
    <t>kabel  NYM-J 3x2,5mm2</t>
  </si>
  <si>
    <t>kabel  NYM-J 3x1,5mm2</t>
  </si>
  <si>
    <t>kabel  NYM-J 3x4mm2</t>
  </si>
  <si>
    <t>kabel  NYM-J 3x6mm2</t>
  </si>
  <si>
    <t>termoplastična cijev CSS 20, (F 16 mm)</t>
  </si>
  <si>
    <t>termoplastična cijev CSS 32, (F 26 mm)</t>
  </si>
  <si>
    <t>termoplastična cijev CSS 50</t>
  </si>
  <si>
    <t>UNUTARNJI ENERGETSKI RAZVOD UKUPNO:</t>
  </si>
  <si>
    <t>A3</t>
  </si>
  <si>
    <t>EL. INSTALACIJA RASVJETE, PRIKLJUČNICA, TE IZVODA</t>
  </si>
  <si>
    <t>Dobava, montaža i spajanje rasvjetnih tijela čiju dobavu komplet sa izvorima svjetla, grlima, starterima i predspojnim spravama, vrši izvođač. Uz montažu i spajanje, cijenom obuhvatiti sav potreban ovjesni, spojni i montažni materijal i pribor.  Prije narudžbe obavezno usaglasiti točan tip i broj rasvjetnih tijela sa nadzornim inženjerom. Stavka obuhvaća:</t>
  </si>
  <si>
    <t>Dobava, postava i spajanje stropne ugradne svjetiljke direktne svjetlosne distribucije. Kućište svjetiljke od ekstrudiranog aluminija, plastificirano poliesterskom epoksi bojom za zaštitu od UV zračenja, završne obrade u bijeloj boji. Difuzor opalni od PMMA debljine 6mm, s laserskim svilotiskom dimenzioniranim prema snazi LED-a. Svjetiljka dolazi s dimabilnim LED konverterom, pozicioniram izvan svjetiljke. Dimenzije svjetiljke: fi 230mm, visina 62mm. Dimenzije za ugradnju: min fi 200mm, max fi 225mm. Dimabilni LED konverter. Izvor svjetlosti: LED 21W, boje svjetlosti 4000K, izlaznog svjetlosnog toka 2180lm, uzvrata boje CRI&gt;90. Mehanička zaštita IP44ik07.
Tip kao Energy 2230 A LED 21W 4000K CRI&gt;90 IP44 IK07 DIMM (FOSNOVA), sa svim potrebnim montažnim priborom i elementima te izvorima svjetlosti. 
Oznaka u projektu "S1".</t>
  </si>
  <si>
    <t>Dobava, postava i spajanje stropne nadgradne svjetiljke direktne širokosnopne svjetlosne distribucije. Kućište od lijevanog aluminija, završne obrade u bijeloj boji. Odsijač od visokokvalitetnog sjajnog aluminija. Lako održavanje, jednostavno montiranje, štednja emergije, bez UV i termalnih emisija, pasivno hlađenje. Dimenzije svjetiljke: fi180mm x 200mm. Životni vijek 50.000h. Masa svjetiljke 2.99kg. LED izvor svjetla snage 12W, temperature boje svjetla 4000K, snopa svjetlosti 65st, izlaznog svjetlosnog toka 1103lm, visokog faktora uzvrata boje CRI&gt;80. LED konverter integriran unutar kućišta svjetiljke. Stupanj mehaničke zaštite IP20.
Tip kao  Topas LED 12W 4000K 65deg CRI&gt;80 IP20 gloss (LTS), sa svim potrebnim montažnim priborom i elementima te izvorima svjetlosti.
Oznaka u projektu "S1b".</t>
  </si>
  <si>
    <t>Dobava, postava i spajanje ugradne LED svjetiljke s direktnom difuznom svjetlosnom karakteristikom. Kućište svjetiljke izrađeno od samogasivog, antivandal polikarbonata, reflektor od V2 samogasivog PC metaliziranog Al prahom C.V.D. izrađen vakuumskim procesom radi bolje kontrole distribucije svjetla. Jednostavna ugradnja. Masa svjetiljke: 1.5kg.  Životni vijek 50.000h pri 70% (L70B50). Klasa zaštite II.  Dimenzije svjetiljke: fi245mm x 200mm, otvor za ugradnju: min fi220mm, max 243mm. LED izvor svjetla snage 28W, temperature boje svjetla 4000K, izlaznog svjetlosnog toka 2335lm, faktora uzvrata boje CRI&gt;80. Stupanj mehaničke zaštite IP40 IK07.
Tip kao Office 2 Dark LED SML 28W 4000K CRI&gt;80 IP40 IK07 (FOSNOVA), sa svim potrebnim montažnim priborom i elementima te izvorima svjetlosti.
Oznaka u projektu "S2".</t>
  </si>
  <si>
    <t>Dobava, postava i spajanje stropne ugradne svjetiljke direktne svjetlosne distribucije, širokosnopne karakteristike. Kućište od lijevanog cinka, završne obrade u bijeloj boji. Reflektor unutar svjetiljke od visokokvalitetnog aluminija, izrađen u PRI plus tehnologiji za smanjenje bliještanja i postizanje maksimalne efikasnosti. Svjetiljka dolazi s elektroničkim balastom. Klasa zaštite III. Dimenzije svjetiljke: fi 134mm x 105mm, dimenzije za ugradnju fi125mm. Izvor svjetosti: LED snage 13W, temperature boje svjetlosti 3000K, izlaznog svjetlosnog toka 1150lm, snopa svjetlosti 50st, faktora uzvrata boje CRI&gt;80. Stupanj mehaničke zaštite IP20.
Tip kao CSA 60 LED 14W 3000K wide CRI&gt;80 IP20 adj bijela (LTS), sa svim potrebnim montažnim priborom i elementima te izvorima svjetlosti.
Oznaka u projektu "S3".</t>
  </si>
  <si>
    <t>Dobava, postava i spajanje nadgradne svjetiljke modernog minimalističkog dizajna. Izvor svjetlosti blago uvučen. Kućište od aluminija, izvana u bijeloj, iznutra u crnoj boji. Dimenzije svjetiljke: fi600mm x 96mm. LED izvor svjetla snage 54W, ukupne instalirane snage sistema 67W, temperature boje svjetla 4000K, difuzne svjetlosne distribucije, vrlo visokog faktora uzvrata boje CRI&gt;90. Stupanj mehaničke zaštite IP20.
Tip kao RAGATO 600 AB 54W 4000K CRI&gt;90 IP20 bijela+crna (MOLTO LUCE), sa svim potrebnim montažnim priborom i elementima te izvorima svjetlosti.
Oznaka u projektu "S4".</t>
  </si>
  <si>
    <t>Dobava, postava i spajanje ovjesne dekorativne svjetiljke direktne svjetlosne distribucije. Svjetiljka je retro dizajna u obliku tanjura. Kućište od aluminija, izvana u crnoj, iznutra u zlatnoj boji. Dimenzije svjetiljke: fi400mm x 180mm + ovjes max 1700mm + baza fi67mm x 40mm. LED izvor svjetla snage 8W, grlo E27, temperature boje svjetla 2700K, izlaznog svjetlosnog toka 806lm, faktora uzvrata boje CRI&gt;80. Stupanj mehaničke zaštite IP20. 
Tip kao LUZIEN  LED 8W E27 2700K CRI80 IP20 crna+zlatna (TAL), sa svim potrebnim montažnim priborom i elementima te izvorima svjetlosti.
Oznaka u projektu "S5f".</t>
  </si>
  <si>
    <t>Dobava, postava i spajanje ovjesne dekorativne svjetiljke direktne svjetlosne distribucije. Svjetiljka je retro dizajna. Kućište od aluminija, izvana u crnoj, iznutra u zlatnoj boji. Dimenzije svjetiljke: fi80mm x 190mm + ovjes max 1700mm + baza fi69mm x 40mm. LED izvor svjetla snage 7.2W, grlo GU0, temperature boje svjetla 2700K, širina snopa svjetlosti 36st, izlaznog svjetlosnog toka 575lm, faktora uzvrata boje CRI&gt;80. Stupanj mehaničke zaštite IP20. 
Tip kao SPINOLA LED 8W GU10 2700K CRI80 IP20 crna+zlatna (TAL), sa svim potrebnim montažnim priborom i elementima te izvorima svjetlosti.
Oznaka u projektu "S5h".</t>
  </si>
  <si>
    <t>Dobava, postava i spajanje stropne ugradne svjetiljka direktne svjetlosne distribucije. Kućište od aluminija, plastificirano bijelim prahom. Izvor svjetlosti uvučen za 20mm u dubinu. Glava svjetiljka uvučena i zakretna za 35st u odnosu na okomitu os. Dimenzije svjetiljke: fi 94mm x 85mm. Dimenzije za ugradnju: fi87mm x 90mm. Masa svjetiljke: 0.31kg. LED izvor svjetla snage 10W, 500mA, temperature boje svjetla 2700K, širine snopa svjetlosti 36st, faktora uzvrata boje CRI&gt;90, izlaznog svjetlosnog toka 590lm. Stupanj mehaničke zaštite IP20. Svjetiljka u kompletu s LED konverterom 500mA snage 10W.
Tip kao DEEP ADJUST 1.0 LED 10W 500mA 2700K 36deg CRI&gt;90 IP20 bijela (MOLTO LUCE), sa svim potrebnim montažnim priborom i elementima te izvorima svjetlosti.
Oznaka u projektu "S6".</t>
  </si>
  <si>
    <t>Dobava, postava i spajanje stropne ugradne svjetiljka direktne svjetlosne distribucije. Kućište od aluminija, plastificirano bijelim prahom. Izvor svjetlosti uvučen za 20mm u dubinu.  Dimenzije svjetiljke: fi 84mm x 85mm. Dimenzije za ugradnju: fi76mm x 90mm. Masa svjetiljke: 0.31kg. LED izvor svjetla snage 10W, 500mA, temperature boje svjetla 3000K, širine snopa svjetlosti 36st, faktora uzvrata boje CRI&gt;90, izlaznog svjetlosnog toka 640lm. Stupanj mehaničke zaštite IP20. Svjetiljka u kompletu s LED konverterom 500mA snage 10W.
Tip kao DEEP 1.0 LED 10W 500mA 3000K 36deg CRI&gt;90 IP20 bijela (MOLTO LUCE), sa svim potrebnim montažnim priborom i elementima te izvorima svjetlosti.
Oznaka u projektu "S6b".</t>
  </si>
  <si>
    <t>10.</t>
  </si>
  <si>
    <t>Dobava, postava i spajanje nadgradnog reflektora s okruglom bazom. Svjetiljka minimalističkog dizajna, Glava svjetiljke zakretna u horizontalnom za 350 i vertikalnom smjeru za 90st. Kućište aluminijsko, završno bojano u crnu boju. Glava fi 95mm x 132mm, baza fi80mm x 31mm. Ukupna visina 162mm. LED izvor svjetla snage 14W, temperature boje svjetla 3000K, srednje širine snopa svjetlosti, izlaznog svjetlosnog toka 715lm, faktora uzvrata boje CRI&gt;80. Svjetiljka dolazi s LED konverterom integriranim unutar baze. Pasivno hlađenje. Stupanj mehaničke zaštite IP20.
Tip kao SHOPSTAR AC LED 14W MED. 3000K CRI&gt;80 IP20 crni (MOLTO LUCE), sa svim potrebnim montažnim priborom i elementima te izvorima svjetlosti.
Oznaka u projektu "S8".</t>
  </si>
  <si>
    <t>11.</t>
  </si>
  <si>
    <t>Dobava, postava i spajanje ovjesne trofazne šine od aluminija, završne obrade u crnoj boji. Dimenzije šine: 31.5mm x 32.5mm, duljine prema projektu. Šine se spajaju u "L" oblik duljine 3m+6m. Dolaze u segmentima od 3m koji se međusobno spajaju, s ovjesom max duljine 1.5m, konektorima, prihvatima i završnim kapama, sve u crnoj boji. Na šinu se monitraju svjetiljke oznake u projektu S8. Dolazi u mehaničkoj zaštiti IP20.
Tip kao Ovjesna trofazna šina  IP20, crna boja
 (MOLTO LUCE), sa svim potrebnim montažnim priborom i elementima.
Oznaka u projektu "L1a=3m" , "L1b=6m".</t>
  </si>
  <si>
    <t>12.</t>
  </si>
  <si>
    <t>Dobava, postava i spajanje stropne ugradne svjetiljka difuzne svjetlosne distribucije. Kućište čelično, završne obrade bojano u bijelu boju RAL 9016. Difuzor mikropizmatični. Dimenzije svjetiljke 1197 x 297 x 89 mm. Dimenzije otvora za ugradnju: 1185 x 285 mm. Životni vijek: svjetlosni tok pri 80% nakon 50.000h (L80B10). LED izvor svjetla snage 40W, temperature boje svjetla 4000K, izlaznog svjetlosnog toka 4675lm, faktora uzvrata boje CRI&gt;80. Svjetiljka dolazi s elektroničkim balastom. Stupanj mehaničke zaštite IP54.
Tip kao PREMP/300-1200 LED 40W 4000K CRI&gt;80 IP54 mikropriz. (REGIOLUX), sa svim potrebnim montažnim priborom i elementima te izvorima svjetlosti. 
Oznaka u projektu "S11".</t>
  </si>
  <si>
    <t>13.</t>
  </si>
  <si>
    <t>Dobava, postava i spajanje nadgradne vodotijesne svjetiljke direktne svjetlosne distribucije. Kućište od UV stabiliziranog polikarbonata, završne obrade u sivoj boji. Difuzor polikarbonatni, transparentni, UV-stabilizirani, izvana gladak, iznutra naboran. Svjetiljka otporna na jake udarce. Dimenzije svjetiljke: 1260mm x 120mm x 102mm. LED izvor svjetla snage 25W, temperature boje svjetla 4000K, izlaznog svjetlosnog toka 3144lm, faktora uzvrata boje CRI&gt;80. Stupanj mehaničke zaštite IP66 IK08.
Tip kao 961 HYDRO LED 25W 4000K CRI80 IP66 IK08 (DISANO), sa svim potrebnim montažnim priborom i elementima te izvorima svjetlosti. 
Oznaka u projektu "S12".</t>
  </si>
  <si>
    <t>14.</t>
  </si>
  <si>
    <t>Dobava, postava i spajanje zidne nadgradne svjetiljke asimetrične svjetlosne distribucije. Kućište od lijevanog aluminija, završno bojano u sivu boju. Stakleni difuzor obojane unutrašnjnosti za homogenu difuznu distribuciju svijetla. Reflektor od satiniranog čistog aluminija (Al 99.98). Silikonske brtve. Klasa zaštite I. Aluminijski sustav za odvod topline. Dimenzije svjetiljke: 300mm x 100mm x 100mm. LED izvor svjetla snage 23W, temperature boje svjetla 3000K, izlaznog svjetlosnog toka 1116lm. Životni vijek: 50.000h L70. Stupanj mehaničke zaštite IP65 IK07.
Tip kao  Quasar 30 tech LED 23W 3000K asim IP65 siva (PERFORMANCE IN LIGHTING), sa svim potrebnim montažnim priborom i elementima te izvorima svjetlosti.
Oznaka u projektu "V1".</t>
  </si>
  <si>
    <t>15.</t>
  </si>
  <si>
    <t>Dobava, postava i spajanje zidne nadgradne svjetiljke asimetrične svjetlosne distribucije. Kućište od lijevanog aluminija, završno bojano u sivu boju. Stakleni difuzor obojane unutrašnjnosti za homogenu difuznu distribuciju svijetla. Reflektor od satiniranog čistog aluminija (Al 99.98). Silikonske brtve. Klasa zaštite I. Aluminijski sustav za odvod topline. Dimenzije svjetiljke: 200mm x 100mm x 100mm. LED izvor svjetla snage 13W, temperature boje svjetla 3000K, izlaznog svjetlosnog toka 606lm. Životni vijek: 50.000h L70. Stupanj mehaničke zaštite IP65 IK07.
Tip kao  Quasar 20 tech LED 13W 3000K asim IP65 siva (PERFORMANCE IN LIGHTING), sa svim potrebnim montažnim priborom i elementima te izvorima svjetlosti.
Oznaka u projektu "V1b".</t>
  </si>
  <si>
    <t>16.</t>
  </si>
  <si>
    <t xml:space="preserve">Dobava, postava i spajanje stropne nadgradne svjetiljke direktne svjetlosne distribucije. Svjetiljka minimalističkog dizajna u obliku valjka. </t>
  </si>
  <si>
    <t xml:space="preserve">Izvor svjetlosti blago uvučen. Kućište od alumniija, završne obrade u crnoj boji. Dimenzije svjetiljke: fi114mm x 100mm.
</t>
  </si>
  <si>
    <t xml:space="preserve"> LED izvor svjetla snage 8W, temperature boje svjetla 3000K, širine snopa svjetlosti 36deg, izlaznog svjetlosnog toka 480lm, faktora uzvrata boje CRI&gt;80. Stupanj mehaničke zaštite IP20.</t>
  </si>
  <si>
    <t>Tip kao  RAY 1.0 LED 8W 3000K 38deg CRI&gt;80 IP65 crna (WEVER&amp;DUCRE), sa svim potrebnim montažnim priborom i elementima te izvorima svjetlosti.
Oznaka u projektu "V2".</t>
  </si>
  <si>
    <t>17.</t>
  </si>
  <si>
    <t>Dobava, postava i spajanje stropne ugradne svjetiljke za sigurnosnu rasvjetu evakuacijskih površina (optika za široke evakuacijske površine), s mehaničkom zaštitom IP20. K</t>
  </si>
  <si>
    <t xml:space="preserve">ućište čelično, završne obrade u bijeloj boji. 230V 50Hz napajanje, elektronička predspojna naprava, u pripravnom spoju, autonomije 3h. LED izvor snage 2x1W 230VAC 50Hz, izlazni svjetlosni tok 180lm, snopa svjetlosti 81st. Klasa zaštite I. </t>
  </si>
  <si>
    <t xml:space="preserve">Dimenzije svjetiljke: glava fi80mm x 40mm, dim.za ugradnju fi65mm, ukupna duljina kabla 1m. Svjetiljku spojiti na napojni uređaj 350mA autonomije 3h, pozicioniranim izvan svjetiljke, veličine 650mm x 50mm x 44mm.
</t>
  </si>
  <si>
    <t>Tip kao COBRA 2W LED 81st TA pripr.spoj 3h IP20 open space (ES-SYSTEM), sa svim potrebnim montažnim priborom i elementima te izvorima svjetlosti. 
Oznaka u projektu "EM1".</t>
  </si>
  <si>
    <t>18.</t>
  </si>
  <si>
    <t xml:space="preserve">Dobava, postava i spajanje stropne ugradne svjetiljke za sigurnosnu rasvjetu evakuacijskih puteva (optika za koridore), s mehaničkom zaštitom IP20. Kućište čelično, završne obrade u bijeloj boji. 230V 50Hz </t>
  </si>
  <si>
    <t xml:space="preserve">napajanje, elektronička predspojna naprava, u pripravnom spoju, autonomije 3h. </t>
  </si>
  <si>
    <t xml:space="preserve">LED izvor snage 1x1,5W 230VAC 50Hz, izlazni svjetlosni tok 180lm. Klasa zaštite I. Dimenzije svjetiljke: glava fi80mm x 40mm, dim.za ugradnju fi65mm, ukupna duljina kabla 1m. </t>
  </si>
  <si>
    <t xml:space="preserve">Svjetiljku spojiti na napojni uređaj 350mA autonomije 3h, pozicioniranim izvan svjetiljke, veličine 650mm x 50mm x 44mm.
</t>
  </si>
  <si>
    <t xml:space="preserve">Tip kao COBRA 1,5W LED TA pripr.spoj 3h IP20 koridor (ES-SYSTEM), sa svim potrebnim montažnim priborom i elementima te izvorima svjetlosti. 
Oznaka u projektu "EM2". </t>
  </si>
  <si>
    <t>19.</t>
  </si>
  <si>
    <t>Dobava, postava i spajanje zidne nadgradne svjetiljke za sigurnosnu rasvjetu, s pokazivačem smjera "dolje", sa mehaničkom zaštitom IP40. 230V 50Hz napajanje, elektronička predspojna naprava.</t>
  </si>
  <si>
    <t xml:space="preserve"> Svjetiljka se koristi za označavanje evakuacijskih puteva. Kućište od plastike, s opalnim difuzorom. Udaljenost uočavanja 20m, 230V 50Hz napajanje, elektronička predspojna naprava, sa inverterom za nužnu rasvjetu u trajnom spoju.</t>
  </si>
  <si>
    <t xml:space="preserve"> Baterija sa automatskim punjenjem. Radna temperatura od 0°C÷25°C, Težina 0.95kg. Dimenzije svjetiljke 340x140x44 [mm]. Dimenzije piktograma: 300mm x 100mm.
</t>
  </si>
  <si>
    <t>Tip kao MONITOR1 IP40 LED 1,2W TC trajni spoj 3h "DOLJE" (ES-SYSTEM), sa svim potrebnim montažnim priborom, elementima i piktogramom te izvorima svjetlosti. 
Oznaka u projektu "P1nz".</t>
  </si>
  <si>
    <t>20.</t>
  </si>
  <si>
    <t>Dobava, postava i spajanje nadgradne zidne svjetiljke za nužnu rasvjetu, sa jednostrano digitalno printanim pokazivačem smjera „dolje“ s mehaničkom zaštitom IP65.</t>
  </si>
  <si>
    <t xml:space="preserve"> Kućišta izrađenog od polikarbonata, difuzora od opalnog polikarbonata.  Udaljenost uočavanja VD 20m. POWER LEDs, LED snage 1.2W, luminancija &gt;200cd/m². 230V/50Hz napajanje, </t>
  </si>
  <si>
    <t xml:space="preserve">elektronička predspojna, sa inverterom za nužnu rasvjetu u trajnom spoju, bez održavanja, sa sustavom za automatsko punjenje autonomije 3h, ukupne instalirane snage sistema rasvjete 2W.
</t>
  </si>
  <si>
    <t>Tip kao MONITOR1 IP65 LED 1,2W TC trajni spoj 3h "DOLJE" (ES-SYSTEM), sa svim potrebnim montažnim priborom, elementima i piktogramom te izvorima svjetlosti. 
Oznaka u projektu "P2nz".</t>
  </si>
  <si>
    <t>21.</t>
  </si>
  <si>
    <t>Dobava, montaža i spajanje slijedećeg instalacionog materijala i pribora tipa Schneider VISAGE , nuditi komplet sa montažnim kutijama, bijele boje:</t>
  </si>
  <si>
    <t>mikroprekidač obični, p/ž</t>
  </si>
  <si>
    <t>mikroprekidač izmjenični, p/ž</t>
  </si>
  <si>
    <t>svjetleće tipkalo za rasvjetu, p/ž</t>
  </si>
  <si>
    <t>p/ž utičnica 1-F, sa zaštitnim kontaktom</t>
  </si>
  <si>
    <t>p/ž utičnica 1-F, sa zaštitnim poklopcem IP44</t>
  </si>
  <si>
    <t>p/ž utičnica 3-F, sa zaštitnim kontaktom</t>
  </si>
  <si>
    <t>razvodna kutija fi 80mm ili OG 100x100mm</t>
  </si>
  <si>
    <t>tipkalo za isključenje napajanja u slučaju požara ili hitnosti</t>
  </si>
  <si>
    <t>IC senzor pokreta</t>
  </si>
  <si>
    <t>luksomat</t>
  </si>
  <si>
    <t>Ostali neimenovani spojni i montažni materijal i pribor kao što su podžbukne i OG kutije, montažne kutije, vijci, tiple i sl.</t>
  </si>
  <si>
    <t>22.</t>
  </si>
  <si>
    <t>Dobava i postava pocinčane kabelske instalacijske police sa spojnicama, nosačima, poklopcima te s izradom horizontalnih i vertikalnih skretanja, kutnim elementima i izjednačenjem potencijala, sve komplet za jaku i slabu struju</t>
  </si>
  <si>
    <t>PK-100</t>
  </si>
  <si>
    <t>PK-200</t>
  </si>
  <si>
    <t>23.</t>
  </si>
  <si>
    <t>Spajanje strojarske i tehnološke opreme :  ventilokonvektora, pumpi, ventilatora,  uređaja tehnologije u kuhinj i dr.</t>
  </si>
  <si>
    <t>Dobava, polaganje na OG obujmice odnosno uvlačenje u cijevi i spajanje vodiča za povezivanje raznih metalnih masa u cijelom  prostoru Prosječno se polaže:</t>
  </si>
  <si>
    <t>Kutija za izjednačenje potencijala u kuhinji sa sabirnicom za prihvat kabela 16mm2</t>
  </si>
  <si>
    <t>Izrada spoja kuhinjskih elemenata i voda 1xP/F 16 mm2 za uzemljenje</t>
  </si>
  <si>
    <t>vodič 1xP/F 6 mm2</t>
  </si>
  <si>
    <t>vodič 1xP/F 16 mm2</t>
  </si>
  <si>
    <t>Sitni materijal kao stopice, vijci i sl.</t>
  </si>
  <si>
    <t>24.</t>
  </si>
  <si>
    <t>Izvedba izjednačenja potecijala u sanitarnim prostorima, stavka obuhvaća:</t>
  </si>
  <si>
    <t>kutija za izjednačenje potencijala</t>
  </si>
  <si>
    <r>
      <t>vodič 1xP/F 6 mm</t>
    </r>
    <r>
      <rPr>
        <vertAlign val="superscript"/>
        <sz val="9"/>
        <rFont val="Calibri"/>
        <family val="2"/>
        <charset val="238"/>
        <scheme val="minor"/>
      </rPr>
      <t>2</t>
    </r>
  </si>
  <si>
    <r>
      <t>vodič 1xP/F 4 mm</t>
    </r>
    <r>
      <rPr>
        <vertAlign val="superscript"/>
        <sz val="9"/>
        <rFont val="Calibri"/>
        <family val="2"/>
        <charset val="238"/>
        <scheme val="minor"/>
      </rPr>
      <t>2</t>
    </r>
  </si>
  <si>
    <t xml:space="preserve">cijev CSS 20, (Fi 16 mm) </t>
  </si>
  <si>
    <t>Ostali neimenovani materijal kao što su met. obujmice, sredstva za tvrdi lem i dr.</t>
  </si>
  <si>
    <t>A4</t>
  </si>
  <si>
    <t>EL. INSTALACIJA RASVJETE, PRIKLJUČNICA, TE IZVODA UKUPNO:</t>
  </si>
  <si>
    <t>B</t>
  </si>
  <si>
    <t>INSTALACIJA STRUKTURNOG KABLIRANJA</t>
  </si>
  <si>
    <r>
      <rPr>
        <u/>
        <sz val="9"/>
        <rFont val="Calibri"/>
        <family val="2"/>
        <charset val="238"/>
        <scheme val="minor"/>
      </rPr>
      <t>NAPUTAK:</t>
    </r>
    <r>
      <rPr>
        <sz val="9"/>
        <rFont val="Calibri"/>
        <family val="2"/>
        <charset val="238"/>
        <scheme val="minor"/>
      </rPr>
      <t xml:space="preserve">
Telefonsku centralu, aktivne komponente za ugradnju u komunikacijske ormare, te telefonske aparate dobavlja investitor u skladu s konačno određenim potrebama.</t>
    </r>
  </si>
  <si>
    <t>1</t>
  </si>
  <si>
    <t>Dobava, izrada otvora u zidu, ugradnja u zid i spajanje telefonskog izvodnog ormarića, oznake "BEF", tip kao KRONECTION BOX III, Up, proizvod "Krone" ili jednakovrijedan,</t>
  </si>
  <si>
    <t>dimenzija 255×360×76mm, komplet s vratima, bravicom, montažnim nosačem, nadžbuknim okvirom i 10 priključnih letvica tipa kao LSA-PLUS 2/10, proizvod "Krone" ili jednakovrijedan,</t>
  </si>
  <si>
    <t>sve komplet.</t>
  </si>
  <si>
    <t>2</t>
  </si>
  <si>
    <t>Dobava i ugradnja u telefonski ormarić oznake "BEF" prenaponskog odvodnika za montažu na LSA PLUS 2/10 "Krone" reglete tip kao TS10 I, proizvod "MTL" ili jednakovrijedan,</t>
  </si>
  <si>
    <t>ISDN, 65V, sve komplet s ostalim sitnim spojnim i montažnim materijalom i priborom, te spajanjem.</t>
  </si>
  <si>
    <t>Dobava , postava i spajanje komunikacijskog ormara BD sa slijedećim elementima:</t>
  </si>
  <si>
    <t>Ormar 16U, 600×800 mm, DN-19 16U-6/8, Digitus</t>
  </si>
  <si>
    <t>Patch panel 24porta - FTP cat.6 1U 19"</t>
  </si>
  <si>
    <t xml:space="preserve">Polica 19" fiksna 525mm za ormare dubine 800 mm </t>
  </si>
  <si>
    <t>Vodilica kabela 1U s 5 prstena</t>
  </si>
  <si>
    <t>ukupno komunikacijski ormar:</t>
  </si>
  <si>
    <t xml:space="preserve">jednakovrijedan proizvod : </t>
  </si>
  <si>
    <t>Dobava , postava i spajanje komunikacijskog ormara FD sa slijedećim elementima:</t>
  </si>
  <si>
    <t>5</t>
  </si>
  <si>
    <t>Dobava i postava duplex predterminiranog višemodnog svjetlovodnog prespojnog kabela s 2 svjetlovodne niti OM3 2×50/125, MM, LSOH, duljine 2m, za spoj u svjetlovodnu ladicu, s LC Dx OM3 konektorima na obje strane, sve komplet.</t>
  </si>
  <si>
    <t>6</t>
  </si>
  <si>
    <t>Dobava i postava predterminiranog prespojnog S/UTP kabela RJ-45 na RJ-45, LSOH, duljine 2,5 m, kategorije 6, sve komplet.</t>
  </si>
  <si>
    <t>7</t>
  </si>
  <si>
    <t xml:space="preserve">Dobava i postava na obujmice plastične cijevi tip kao PNT </t>
  </si>
  <si>
    <t>komplet s potrebnim obujmicama, razvodnim kutijama i uvodnicama:</t>
  </si>
  <si>
    <t>PNT 23</t>
  </si>
  <si>
    <t>PNT 16</t>
  </si>
  <si>
    <t>8</t>
  </si>
  <si>
    <t xml:space="preserve">Dobava i postava p/žb plastične samogasive cijevi tip kao CSS </t>
  </si>
  <si>
    <t>komplet s potrebnim razvodnim kutijama i žljebljenjem:</t>
  </si>
  <si>
    <t>CSS 32</t>
  </si>
  <si>
    <t>CSS 25</t>
  </si>
  <si>
    <t>9</t>
  </si>
  <si>
    <t>Dobava, postava na kabelske police, djelomično uvlačenje u plastične cijevi n/žb i p/žb   telekomunikacijskog instalacijskog kabela tip TK 59-50 25×4×0,6mm, sve komplet.</t>
  </si>
  <si>
    <t>Ranžiranje i spajanje telekomunikacijskog instalacijskog kabela tip TK 59-50 25×4×0,6mm na oba kraja na prespojni panel u komunikacijskom ormaru, sve komplet.</t>
  </si>
  <si>
    <t>Dobava, postava na kabelske police i djelomično uvlačenje u plastične cijevi n/žb i p/žb višemodnog svjetlovodnog kabela s 8 svjetlovodnih niti tip OM3 8×50/125, MM, LSOH, sve komplet.</t>
  </si>
  <si>
    <t>12</t>
  </si>
  <si>
    <t>Dobava, postava na kabelsku policu, uvlačenje u plastične cijevi n/žb i p/žb, kabela tip s/UTP 4×2×AWG23, kategorije 6, LSOH, 250MHz, sve komplet.</t>
  </si>
  <si>
    <t>13</t>
  </si>
  <si>
    <t>Spajanje kabela tip U/UTP 4×2×AWG23 na prespojni panel u komunikacijskom ormaru.</t>
  </si>
  <si>
    <t>14</t>
  </si>
  <si>
    <t>Dobava, izrada otvora u zidu, ugradnja u zid te spajanje p/žb komunikacijskog utičnog mjesta s 1×RJ45 konektora, kategorije 6, sve komplet s instalacijskom kutijom.</t>
  </si>
  <si>
    <t>15</t>
  </si>
  <si>
    <t>Ispitivanje instalacije strukturnog kabliranja za kategoriju 6 te izdavanje potrebnih certifikata.</t>
  </si>
  <si>
    <t>16</t>
  </si>
  <si>
    <t>Ostali nespecificirani sitni spojni i montažni materijal i pribor.</t>
  </si>
  <si>
    <t>INSTALACIJA STRUKTURNOG KABLIRANJA UKUPNO:</t>
  </si>
  <si>
    <t>C</t>
  </si>
  <si>
    <t>OZVUČENJE</t>
  </si>
  <si>
    <t>OZVUČENJE RESTORANA</t>
  </si>
  <si>
    <r>
      <t xml:space="preserve">DOBAVA, POSTAVA I SPAJANJE GLAVNE RAZGLASNE CENTRALE HUST RC 0122/240
panel napajanja PNO1
panel 2 zonskog pretpojačala HUST PM1122
</t>
    </r>
    <r>
      <rPr>
        <sz val="9"/>
        <rFont val="Calibri"/>
        <family val="2"/>
        <charset val="238"/>
        <scheme val="minor"/>
      </rPr>
      <t>5 mic/line ulaza (svaki ima phantom power) + 4 line ulaza, Svaka zona ima kontrole opremljene s led diodama za lakši pregled. Mogućnost podešavanje mic/mix razine te kontroler za bass i treble.Ukupno 4 nivoa sistemskog prioriteta s emergency ulazom. Raspon frekvencija: 20Hz – 22kHz, Nois: &gt; 93 dB, THD: &lt; 0,008 dB, Crosstalk: &gt;70 dB, Max nominalni gain: +6 dB, Max izlazni napon: +19 dB, 9V,  Kontroler tona za zonu 1 i 2 : Bass 75Hz +/-10 dB, treble 10KHz +/-10 dB, 1HE.</t>
    </r>
  </si>
  <si>
    <t xml:space="preserve"> panel atenuatora HUST PAT 2408-2</t>
  </si>
  <si>
    <t>Mogćnost reguliranja glasnoće na ukupno 2 linije skokovito u 8 stupnjeva plus nulta razina za isključenje. Ukupan zbroj snaga svih izlaza max. 240W (@100V). Smještaj opreme u metalnoj kutiji 1 HE za ugradnju u postojieći 19” ormar. Potrebno 1HE</t>
  </si>
  <si>
    <t>panel combo dual-out AM/FM tuner sa RDS-om + CD/DVD/MP3/USB/</t>
  </si>
  <si>
    <t>SD-card/bluetooth player HUST A-PCR3000RMKIII</t>
  </si>
  <si>
    <t>Profesionalni "multisource" reproduktor; CD/MP3 / SD-card / USB player sa integriranim DAB/FM RDS prijemnikom i Bluetooth prijemnikom. Sadrži kombinirani ili 2 nezavisna audio izlaza. Podržani mediji: CD PLAYER - Audio CD, CD-R, CD-RW, DVD, DVD-R, DVD-RW, USB - SD - do 32 GB FAT32 (MP3 32-320 kbps), Mogućnost rada u opcija opcijama Auto Play i  Cue (AutoPlay npr. pruža mogućnost automatskog početka reprodukcije prilikon pokretanja uređaja; također mogućnost  automatskog prebacivanja na FM tuner kada USB/SD card ili CD završe sa reprodukcijom. Kontrola uređaja s prednje strane, putem IR upravljača ili putem RS232 konekcije.</t>
  </si>
  <si>
    <t xml:space="preserve">panel combo FM tunera/USB i mrežni player/internet streamer  </t>
  </si>
  <si>
    <t>kao HUST PMR4000R</t>
  </si>
  <si>
    <t>Profesionalni multisource player s ugrađenim FM tunerom sa RDS-om , 
mogućnošću reproduciranja glazbe s internet radio postaja, USB-a i UpnP mrežnog servera. Kompatibilni formati: MP3, WMA, WAV i FLAC. Jedinica je opremljena sa nalognim izlazom, optičkim digitalnim izlazom za digitalni media player, a posjeduje žičani Fast Ethernet i Wi-Fi 2,4 G.  Kontrola uređaj putem http-a, putem prednje ploče ili putem DOK aplikacije  (za iPad, iPhone, iPod Touch ili bilo koji Android uređaja).</t>
  </si>
  <si>
    <t>panel 2-kanalnog pojačala snage tip kao HUST REVAMP2120T</t>
  </si>
  <si>
    <t>profesionalno 2-kanalno pojačalo klase D sa ugrađenim DSP-om, pametnim senzorom praćenja potrošnje energije, inteligentnim hladilom s promjenjivom brzinom okretaja, 250 Hz visokopropusni filtar. Snaga (RMS): 2x 120W @4Ω/100V / Bridge-mode: 1x 240W @8Ω/100V, Raspon frekvencija: (0/-3 dB) 50 Hz – 20 kHz, odvajanje kanala: &gt;68dB @ 1kHz,  THD ch. 1/2: &lt;0.07% @1W / 4Ω / 1kHz, S/N ratio: &gt;101 dB,  Zaštitini sklopovi: over current, over temperature, 2HE</t>
  </si>
  <si>
    <t>19" rack za smještaj opreme, ispitan, ožičenje 8HE</t>
  </si>
  <si>
    <t>DOBAVA, POSTAVA I SPAJANJE NADGRADNOG ZVUČNIKA U IP ZAŠTITI  HUST MASK 4T</t>
  </si>
  <si>
    <t>Dvosistemski HiFi Pro nadgradni zvučnik u zatvorenom pojačanom PPE ABS kučištu (IP64). Sadrži 4.25"" HD woofer + 1"" tweeter (Vari-throat horna sa nagibom 5°). Frekventni raspon: 80Hz-20kHZ, SPL 1W/1m: 89dB (max SPL@1m: 104dB). Ugrađena automatska zaštita 3-step Protection Guard, Snaga zvučnika (RMS): 70W/16Ω / 10-20W@100V. Disperzija zvuka@1kHz: 180°H x 180°V, 3D Intelli-Mount nosač.</t>
  </si>
  <si>
    <t>DOBAVA, POSTAVA I SPAJANJE NADGRADNOG ZVUČNIKA HUST OVO 3TW</t>
  </si>
  <si>
    <t>Dvosistemski nadgradni ovalni zvučnik u ABS (Bass reflex) plastičnom kučištu sa ugrađenim 3” wooferom i 1" visokotoncem.  Snaga: 1,5-3-6W@100V / 40W@16Ω (RMS rated), SPL 1w/1m: 86 dB (max. 102dB),  Frekventno područje: 90Hz-20kHz,  Kut disperzije @4kHz: 120°. Pribor za montažu na zid uključen (nosači).</t>
  </si>
  <si>
    <t>DOBAVA, POSTAVA I SPAJANJE AKTIVNE PODNE NISKOTONSKE ZVUČNE KUTIJE HUST - SUBA165-T</t>
  </si>
  <si>
    <t xml:space="preserve">Aktivni bass reflex subwoofer u kučištu od MDF drveta sa ugrađenim 8˝ wooferom (HD tip), pojačalo snage (RMS)140W. max. SPL: 109dB, frekventni raspon: 30Hz-180Hz, konektori: ualz - RCA 500mV, Ls terminal 10-70V, Izlaz: LS terminal, </t>
  </si>
  <si>
    <t xml:space="preserve">Passivni low-cut. Ugrađena X-over skretnica (40-160 Hz), kontrola glasnoće i prekidač za odabir faze (phase switch) Sadrži prihvat audio signala direktno sa 100V linije. </t>
  </si>
  <si>
    <t>DOBAVA, POSTAVA I SPAJANJE ZIDNE PRIKLJUČNE KUTIJE HUST ZPMS SUB 1.2.1</t>
  </si>
  <si>
    <t xml:space="preserve">Komplet  sadrži: 1x audio priključni modul, 1x 230V. TEM komplet bijela 
Nije dio ovog troškovnika / potrebno osigurati: ugradna kutija 3 modula </t>
  </si>
  <si>
    <t>DOBAVA, POSTAVA I SPAJANJE ZIDNOG REGULATORA/ATENUATORA HUST AT608T</t>
  </si>
  <si>
    <t>TEM bijela, komplet sa maskom, ugradnja u kutiju fi60, 8 pozicija, max. 60W@100V, 3- žica za prisilu. Nije dio ovog troškovnika / potrebno osigurati: ugradnu kutiju fi60.</t>
  </si>
  <si>
    <t>KOMPLET PRIJENOSNE INDUKTIVNE PETLJE S POSTOLJEM - HUST U-VOX P-CTC 13T</t>
  </si>
  <si>
    <t>prijenosni sustav induktivne petlje s punjivim baterijama, bez posebne instalacije i podešavanja. Ugrađeni mikrofon i mikro procesor koji kontrolira prijenosni sustav induktivne petlje tako da vrši automatsku kontrolu izlaznog nivoa signala (gain) i "noise gate" funkciju (regulator praga eliminacije šuma) a sve u svrhu poboljšanja prijema audio signala (primarno govornog) i produljenja vijeka radne autonomije baterije. Sadrži LED indikaciju koja pokazuje status baterije i status punjenja iste. Baterije uređaja se mogu puniti za vrijeme upotrebe. Polje petlje pokriva maksimalnu površinu od 1,2m u radijusu oko bazne jedinice. Uključen dodatak uređaju - prozirni plastični nosač petlje (Shelf unit). Dimenzije: V250mm x Š275mm x D110mm, Težina: 800g. Dodatni konektor za spajanje vanjskog mikrofona (3,5mm). Uključen vanjski omnidirekcionalni kondezatorski boundary mikrofon (Electret condenser kapsula), osjetljivost: -53 dB re V/Pa, napajanje 5-15 VDC phantom, konekcija: 3,5mm stereo / XLR plug.</t>
  </si>
  <si>
    <t>SOS RESTORAN</t>
  </si>
  <si>
    <t>DOBAVA, POSTAVA I SPAJANJE SOS CENTRALNOG UREĐAJA / SOS CENTRALE HUST BIS SOS C1T</t>
  </si>
  <si>
    <t>Centralni uređaj izrađen je u kompaktnoj varijanti za smješta iznad ulaznih vrata u invalidski sanitarni čvor. Sadrži ispravljač i potrebnu elektronika za upravljanje sustavom. U trenutku poziva pojavljuje se zvučno - svjetlosni signal (biper + crvena LED dioda  promjera 20mm). Montaža u kutiju 4 modula (tip Vimar, TEM i sl.).</t>
  </si>
  <si>
    <t>DOBAVA, POSTAVA I SPAJANJE SOS POZIVNOG/POTEZNOG/RAZRJEŠNOG TIPKALA HUST BIS TPR SOS T</t>
  </si>
  <si>
    <t>Postavlja se pored školjke u sanitarnom čvoru na visini 180-200 cm od poda. Sadrži ugrađenu tzv. umirujuću LED diodu koja zasvijetli kad je poziv aktiviran. Tipkalo se postavlja u pripremljenu ugradnu kutiju fi60.</t>
  </si>
  <si>
    <t xml:space="preserve">DOBAVA, POSTAVA I SPAJANJE SOS SIGNALNE SVJETILJKE SA BIPEROM HUST BIS SS 01 CBT </t>
  </si>
  <si>
    <t>Ugradna signalna svjetiljka sa biperom za signalizaciju poziva na izdvojenom mjestu. Za slučaj dodatne paralelne signalizacije kod dežurne osobe. Postava u pripremljenu ugradnu kutiju fi60.</t>
  </si>
  <si>
    <t>OZVUČENJE INFO CENTRA:</t>
  </si>
  <si>
    <t>DOBAVA, POSTAVA I SPAJANJE GLAVNE RAZGLASNE CENTRALE HUST RC 0122/120</t>
  </si>
  <si>
    <t>panel napajanja PNO1</t>
  </si>
  <si>
    <t xml:space="preserve"> panel pretpojačala/pojačala CONCEPT 1T, </t>
  </si>
  <si>
    <t>Prof. pojačalo sa pretpojačalom, 2x60W/100V, Lo-cut filter : 75 Hz / 12 dB/oct, RS232 + IR, THD: &lt; 0,05%, IMD : &lt; 0,09%, Gain: 33dB, 4 Line+1 Mic IN,  Načini rada: stereo ili mono sa nezavisno upravljivim zvučničkim linijama ( 2 linije), Konekcije: 4 linijska ulaza, 1 mikrofonski + prioritetni ulaz. ugrađen zaseban el. limitator  za svaku zonu/liniju.Uključen i daljinski upravljač.</t>
  </si>
  <si>
    <t>19" rack za smještaj opreme, ispitan, ožičenje 10HE</t>
  </si>
  <si>
    <t>NADGRADNI ZVUČNIK HUST T-BS634</t>
  </si>
  <si>
    <t>Nadgradni zvučnik u zatvorenom ABS HIPS kučištu, 5" woofer, freq. raspon: 120Hz-18kHZ, SPL 1W/1m: 90dB,snaga: 1.5-6W@100V, nosač s osiguranjem od pada. Dimenzije: 210 x 330 x 80 mm, (bazirano na  zlatnom rezu (Golden Ratio - 1: 1.618)).</t>
  </si>
  <si>
    <t>OSTALO:</t>
  </si>
  <si>
    <t>Dobava, postava i spajanje kabela:</t>
  </si>
  <si>
    <t>Zvučnički kabel LFZ-XY2x1.5mm2</t>
  </si>
  <si>
    <t>KABEL HO5VV-F 3x1.5mm2</t>
  </si>
  <si>
    <t>SITNI POTROŠNI MATERIJAL</t>
  </si>
  <si>
    <t>Sav potrebni nespecifirani sitni potrošni materijal i pribor za spajanje opreme do pune funkcionalnosti.</t>
  </si>
  <si>
    <t xml:space="preserve">USLUGA ISPITIVANJA I PUŠTANJA U RAD (PLITVICE) </t>
  </si>
  <si>
    <t>Ispitivanje linija, terminacija kabela, spajanje,  puštanje u rad, obuka korisnika na lokaciji (3 osobe, 2 sata), uputstva, izjave o sukladnosti, sheme spajanja i povezivanja..</t>
  </si>
  <si>
    <t>UKUPNO OZVUČENJE:</t>
  </si>
  <si>
    <t>D</t>
  </si>
  <si>
    <t>GROMOBRANSKA INSTALACIJA</t>
  </si>
  <si>
    <t>Dobava, postava i spajanje pocinčane trake Fe/Zn 40x4mm u rov koji se kopa oko objekta, komplet sa iskopom i zatrpavanjem rova dimenzija 40x80cm.</t>
  </si>
  <si>
    <t xml:space="preserve">Dobava, postava i spajanje  profila Rf fi 8mm po krovu i za spusne vodove, nuditi komplet sa odgovarajućim nosačima. </t>
  </si>
  <si>
    <t>3</t>
  </si>
  <si>
    <t xml:space="preserve">Dobava, postava i spajanje križne spojnice za izradu spoja trake s trakom te sa Rf profilom  </t>
  </si>
  <si>
    <t>4</t>
  </si>
  <si>
    <t>Dobava, postava i izrada mjernog spoja na fasadi</t>
  </si>
  <si>
    <t>Izrada nadvišenja od 30 cm na krovu, izrada gromobranske hvataljke profilom Rf f fi 8mm.</t>
  </si>
  <si>
    <t>Izrada revizone knjige gomobrana, ispitivanje i mjerenje parametara gromobrana</t>
  </si>
  <si>
    <t>GROMOBRANSKA INSTALACIJA UKUPNO:</t>
  </si>
  <si>
    <t>E</t>
  </si>
  <si>
    <t>Dobava sveg potrebnog materijala te izvedbu brtvljenja kabelskih otvora pri prolazu kroz granice požarnih zona, odgovarajućom protupožarnom  smjesom votrootpornosti 180 min.</t>
  </si>
  <si>
    <t>Unošenje svih eventualnih izmjena i dopuna tokom izvedbe u projektnu dokumentaciju, te predaja investitoru projekta izvedenog stanja u tri papirnata i jedan primjerak u digitalnom obliku na CD-u.</t>
  </si>
  <si>
    <t>Ispitivanje i kontrola instalacije obzirom na:</t>
  </si>
  <si>
    <t>funkcionalnost</t>
  </si>
  <si>
    <t>otpor izolacije</t>
  </si>
  <si>
    <t xml:space="preserve">zaštitu od KS </t>
  </si>
  <si>
    <t>previsokog napona dodira</t>
  </si>
  <si>
    <t>izjednačenja potencijala i neprekinutosti zaštitnog vodiča</t>
  </si>
  <si>
    <t>otpora uzemljenja i revizione knjige gromobrana</t>
  </si>
  <si>
    <t>ispitivanje rada sustava odimljavanja</t>
  </si>
  <si>
    <t xml:space="preserve"> mjerenje jakosti rasvjete</t>
  </si>
  <si>
    <t>te izrada iprava o navedenim ispitivanjima električne instalacije</t>
  </si>
  <si>
    <t>OSTALO UKUPNO:</t>
  </si>
  <si>
    <t>REKAPITULACIJA:</t>
  </si>
  <si>
    <t>UNUTARNJI ENERGETSKI RAZVOD</t>
  </si>
  <si>
    <t xml:space="preserve"> INSTALACIJA STRUKTURNOG KABLIRANJA </t>
  </si>
  <si>
    <t>SVEUKUPNO:</t>
  </si>
  <si>
    <t>b)</t>
  </si>
  <si>
    <t>INSTALACIJA KANALIZACIJE</t>
  </si>
  <si>
    <t>Strojni iskop rova za kanalizacijske cijevi i reviziona okna u tlu III kat. Širina rova je 0,80 m, a prosječna dubina rova je 1,5 m. Iskop izvesti sa pravilnim odsjecanjem bočnih strana i dna, te odbacivanje iskopanog materijala na 1,00 m od ruba rova.</t>
  </si>
  <si>
    <r>
      <t>m</t>
    </r>
    <r>
      <rPr>
        <vertAlign val="superscript"/>
        <sz val="11"/>
        <rFont val="Arial"/>
        <family val="2"/>
        <charset val="238"/>
      </rPr>
      <t>3</t>
    </r>
  </si>
  <si>
    <t>Dobava sitnog pijeska i izrada posteljice debljine sloja 15 cm ispod cijevi, te zatrpavanje pijeskom do visine 30 cm iznad tjemena cijevi.</t>
  </si>
  <si>
    <t>Strojno zatrpavanje rova zemljom iz iskopa, nakon izvršene montaže i probe kanalizacijskih cijevi. Zatrpavanje se izvodi u slojevima od 30 cm uz nabijanje svakog sloja nabijačima.</t>
  </si>
  <si>
    <t>Strojni utovar, odvoz i razastiranje preostalog materijala od iskopa na prosječnu udaljenost od 5,0 km. Usvojena rastresitost iznosi 15% .</t>
  </si>
  <si>
    <t>Izrada revizijskog okna iz vodonepropusnog betona C 16/20 svijetlog otvora 1,00 x 0,60 m, debljine stijenki 20 cm . Stijenke iznutra obraditi vodonepropusnim mortom i zagladiti do crnog sjaja. U stijenku okna ugraditi tipske stupaljke S-2 (4 kom.). Sve komplet sa izradom kinete.</t>
  </si>
  <si>
    <t>dubina do 1,5m</t>
  </si>
  <si>
    <t>Izrada podnih i zidnih usjeka za polaganje kanalizacijskih cijevi, sa zatvaranjem usjeka cementnim mortom M10, nakon montaže i ispitivanja cjevovoda.</t>
  </si>
  <si>
    <t>GRAĐEVINSKI RADOVI</t>
  </si>
  <si>
    <t>Dobava i montaža PVC kanalizacionih cijevi i fazonskih komada za horizontalne odvode između revizionih okana (KAO REHAU DIN 19534, klasa SN4). Mrežu vršiti prema tehničkom opisu. Cijevi se polažu na sloj pijeska od 3 cm, te se nakon kompletne montaže natkriju slojem pijeska 5 cm iznad gornjeg ruba cijevi. Obračun se vrši po m' kompletno montirane cijevi zajedno s posteljicom, nadslojem te sa spojnim i pomoćnim materijalom. Fazonski komadi obračunavaju se kao 1 m' cijevi.</t>
  </si>
  <si>
    <t>DN160 mm</t>
  </si>
  <si>
    <t>Dobava i montaža polipropilenskih niskošumnih kanalizacijskih cijevi za vertikalne odvode vode u objektu i temeljni razvod . Montažu vršiti prema tehničkom opisu. Obračun se vrši po m' kompletno montirane, pričvrščene (obujmice), ispitane, izolirane (premaz) cijevi sa svim pomoćnim brtvenim materijalom. Fazonski komadi obračunavaju se kao 1 m' cijevi.</t>
  </si>
  <si>
    <t>DN 160 mm</t>
  </si>
  <si>
    <t>DN 110 mm</t>
  </si>
  <si>
    <t>Dobava i montaža polipropilenskih niskošumnih kanalizacionih cijevi za izvedbu priključnih kanala kanalizacije od sanitarnih uređaja do pojedinih vertikala. Obračun se vrši po m' kompletno montirane, ugrađene i ispitane cijevi zajedno sa svim spojnim i pomoćnim materijalom prema izmjeri u naravi.</t>
  </si>
  <si>
    <t>DN 32 mm</t>
  </si>
  <si>
    <t>DN 40 mm</t>
  </si>
  <si>
    <t>DN  50 mm</t>
  </si>
  <si>
    <t>DN 75 mm</t>
  </si>
  <si>
    <t>Dobava, donos i ugradba polipropilenskih niskošumnih cijevi za ventilacione nastavke kanalizacijskih vertikala do iznad krova cca 0,5 m. Obračun po komadu ugrađenog nastavka.</t>
  </si>
  <si>
    <t>Dobava i montaža mesinganih poniklanih vratašca u prizemlju i u najvišoj etaži kanalskih vertikala. Sva vratašca su montirana na poniklanim usidrenim okvirima vel. 25x30 cm. Obračun sve kompletno po komadu montiranih vratašca zajedno sa bravicom i ključem vel. 25x30 cm.</t>
  </si>
  <si>
    <t>Dobava i ugradnja tipskih ljevano željeznih poklopaca sa okvirima. Poklopci kao ljevaonica Bjelovar za ispitno opterećenje 1,5 t</t>
  </si>
  <si>
    <t>kao tip Bjelovar ili tehnički jednakovrijedan proizvod</t>
  </si>
  <si>
    <t>Dobava i montaža podnog sifona kao tip ACO Pasavant, sa inox rešetkom.</t>
  </si>
  <si>
    <t>kao tip Aco pasavant ili tehnički jednakovrijedan proizvod</t>
  </si>
  <si>
    <t>Dobava i montaža linijske rešetke za industrijske svrhe za ugradnju ukuhinji kao tip Aco, inox, sa bočnim izljevom, sa inox rešetkom.</t>
  </si>
  <si>
    <t>kao tip Aco, inox rešetka ili tehnički jednakovrijedan proizvod</t>
  </si>
  <si>
    <t>L=1m</t>
  </si>
  <si>
    <t>Dobava i ugradnja priključnih komada od PVC-a tip RDS (DIN) za ugradnju na spoju plastične kanalizacijske cijevi i betonskog okna.</t>
  </si>
  <si>
    <t xml:space="preserve">Dobava i ugradnja separatora  masti biljnog i životinjskog porijekla iz armiranog betona (prema HRN EN 206-1) razreda čvrstoče C35/45, razreda izloženosti: XA3, XF4. Separator konstruiran, izrađen i testiran prema HRN EN 1825 nazivne veličine NG2. </t>
  </si>
  <si>
    <t>Separator treba biti siguran od djelovanja sila uzgona do visine podzemne vode do uljeva u separator, interijer separatora  mora biti premazan višeslojnim zaštitnim epoksidnim premazom otpornim na masne kiseline. Unutarnji elementi separatora trebaju biti izrađeni iz PEHD-a (otpornos na masne kiseline). Pristup u separator treba biti u skladu s HRN EN 476. Separator treba imati Integriranu taložnicu zapremnine 200 litara. Sve kao ACO LIPUMAX NG2 SF200 D400 G povišeni.</t>
  </si>
  <si>
    <t>Maksimalne zapremnine izdvojenih masti cca. 180 litara, ukupne zapremnine cca. 711 litara, sa spojevima DN100 utični spoj s kliznom brtvom. 
Ugradbena dubina, mjereno od kote poklopca do kote dna cijevi uljeva Tmin=705mm do 5375mm (točnu dubinu cijevi na uljevu treba definirati prije naručivanja separatora). Separator se treba isporučivati s plinotijesnim poklopcem klase D400, svijetlog otvora promjera 600mm.
Ukupna masa 2540kg, a najtežeg dijela 1880kg.</t>
  </si>
  <si>
    <t>kao tip ACO LIPUMAX  Q=2L/SEK ili tehnički jednakovrijedan proizvod</t>
  </si>
  <si>
    <t>Ispitivanje gotove i montirane kanalizacije na tečenje i vodonepropusnost hidrostatskim tlakom do 5 m vodnog stupca.</t>
  </si>
  <si>
    <t>II</t>
  </si>
  <si>
    <t>c)</t>
  </si>
  <si>
    <t>SANITARNI UREĐAJI</t>
  </si>
  <si>
    <t>NAPOMENA:</t>
  </si>
  <si>
    <t>Svu sanitarnu opremu i predmete nuditi u svemu prema  izboru i zahtjevu Investitora u kvaliteti kao Hatria i HansGrohe</t>
  </si>
  <si>
    <t>Dobava, prijenos i montaža kompletne sanitarne opreme WC-a koja se sastoji od:        konzolne keramičke WC školjke I klase, za 6 lit ispiranje, oblika i boje po izboru projektanta unutarnjeg uređenja, odignute od poda min. 6 cm sa sjedalom i poklopcem;                              montažnog instalacijskog elementa za WC školjku visine ugradnje 112 cm  s niskošumnim ugradbenim vodokotlićem (Geberit Duofix art. 111.311) i štednom dvokoličinskom (6/3lit) plastičnom tipkom za aktiviranje ispiranja (Geberit Sigma20 art. 115.778).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</si>
  <si>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Komplet wc školjka i ugradni vodokotlić kao tip Hatria ili tehnički jednakovrijedan proizvod</t>
  </si>
  <si>
    <t>odvod u zidu</t>
  </si>
  <si>
    <t>Dobava, doprema i ugradnja pissoara od bijele prvoklasne fajanse s rupama za dovod i odvod vode, pričvršćen na zid pomoću vijaka. U stavku uračunat kutni ventil za hladnu vodu Ø 15 mm, "S" sifon te sav pomoćni, brtveni i pričvrsni materijal. Obračun po komadu komplet montiranog pissoara.</t>
  </si>
  <si>
    <t>Sve komplet za upotrebu kao tip Hatria ili tehnički jednakovrijedan proizvod</t>
  </si>
  <si>
    <t>Obračun po kompletu;</t>
  </si>
  <si>
    <t xml:space="preserve">Izvedba priključka sudopera na dovod i odvod vode, uključivši i dva kutna ventila, te priključak sifona na odvod.
</t>
  </si>
  <si>
    <t>Dobava, donos i ugradba odvoda sa sifonom za stroj za pranje suđa. Obračun kompletno po komadu montiranog odvoda sa 4 m cijevi FI 5/4" sa svim monterskim materijalom te građevinskom pripomoći.</t>
  </si>
  <si>
    <t>Izrada dovoda vode sa čepom i rozetom za priključak stroja za pranje suđa. Obračun po komadu komplet izvedenog dovoda sa svim pomoćnim materijalom te građevinskom pripomoći, uključivo i holender slavina FI 15 mm.</t>
  </si>
  <si>
    <t>Dobava i montaža jednoručne stojeće mješalice za montažu na sudoperu.</t>
  </si>
  <si>
    <t xml:space="preserve">Nabava, doprema i ugradnja el. Bojlera </t>
  </si>
  <si>
    <t>50l za stropnu ugradnju</t>
  </si>
  <si>
    <t>5l ugradnju ispod umivaonika</t>
  </si>
  <si>
    <t>Čišćenje i ispiranje sanitarija i armatura.</t>
  </si>
  <si>
    <t>paušalno</t>
  </si>
  <si>
    <t>9.29.</t>
  </si>
  <si>
    <t>Dobava i montaža brušenog ogledala vel. 440*120 lepljenog na gipskartonsku ploču. Ogledalo montirati u sanitarijama za muškarce. Obračun po komadu kompletno montiranog ogledala.</t>
  </si>
  <si>
    <t>3a.</t>
  </si>
  <si>
    <t>3b.</t>
  </si>
  <si>
    <t>Dobava i montaža brušenog ogledala vel. 495*120 lepljenog na gipskartonsku ploču. Ogledalo montirati u sanitarijama za žene Obračun po komadu kompletno montiranog ogledala.</t>
  </si>
  <si>
    <t>3c.</t>
  </si>
  <si>
    <t>Dobava i montaža brušenog ogledala vel. 250*120 lepljenog na gipskartonsku ploču. Ogledalo montirati u sanitarijama za invalide Obračun po komadu kompletno montiranog ogledala.</t>
  </si>
  <si>
    <t>3d.</t>
  </si>
  <si>
    <t>3e.</t>
  </si>
  <si>
    <t>Dobava i montaža brušenog ogledala vel. 102*120 lepljenog na gipskartonsku ploču. Ogledalo montirati u sanitarijama za osoblje kuhinje Obračun po komadu kompletno montiranog ogledala.</t>
  </si>
  <si>
    <t>Dobava i montaža brušenog ogledala vel. 107*120 lepljenog na gipskartonsku ploču. Ogledalo montirati u sanitarijama za muškarce - osoblje uredi. Obračun po komadu kompletno montiranog ogledala.</t>
  </si>
  <si>
    <t>Dobava i montaža brušenog ogledala vel. 180*120 lepljenog na gipskartonsku ploču. Ogledalo montirati u sanitarijama za žene - osoblje uredi. Obračun po komadu kompletno montiranog ogledala.</t>
  </si>
  <si>
    <t>102*50cm (1 umivaonik)</t>
  </si>
  <si>
    <t>180*50cm (1 umivaonik)</t>
  </si>
  <si>
    <t>107*50cm (1 umivaonik)</t>
  </si>
  <si>
    <t>Dobava, doprema i ugradnja podpultnog spremnika za tekući sapun kapaciteta 300 ml tip kao Hansgrohe.držača za tekući sapun. Montaža kod umivaonika i kod tuševa. Obračun po komadu montiranog držača.</t>
  </si>
  <si>
    <t>Dobava i ugradba kromiranog držača toaletnog papira (papir u roli) pored WC-a bočno na zid, tip kao Logis Hansgrohe ili jednakovrijedan proizvod</t>
  </si>
  <si>
    <t xml:space="preserve">Dobava, doprema i montaža umivaonika ( 10 UMIVAONIKA TIP KAO KEROK U TROŠKOVNIKU ARHITEKTURE) prema izboru investitora s kompletnom opremom.  Dovodna armatur tip kao hansgrohe Metris S ili jednakovrijedan proizvod, Elektronička miješalica za umivaonik s regulacijom temperature uz pomoć baterije. Odvodna armatura sa sifonom s nastavkom i zidnom rozetom. Sve komplet za ugradbu.  </t>
  </si>
  <si>
    <t>kao tip Hansgrohe Focus ili  tehnički jednakovrijedan proizvod</t>
  </si>
  <si>
    <t>GRAĐEVINSKO OBRTNIČKI RADOVI - ZGRADA 2</t>
  </si>
  <si>
    <t xml:space="preserve">MAPA 3 </t>
  </si>
  <si>
    <t xml:space="preserve">INVESTITOR: J.U. NACIONALNI PARK PLITVIČKA JEZERA
</t>
  </si>
  <si>
    <t>GRAĐEVINA: ULAZ 1 'SLAP' – RASTOVAČA INFORMATIVNI CENTAR I RESTORAN 'SLAP</t>
  </si>
  <si>
    <t xml:space="preserve">LOKACIJA: k.č. 194/3, 194/4, 194/5, 194/6, k.o. Plitvička jezera
</t>
  </si>
  <si>
    <t>Troškovnik VATRODOJAVE</t>
  </si>
  <si>
    <t xml:space="preserve">  T R O Š K O V N I K 
  VATRODOJAVE</t>
  </si>
  <si>
    <t>jedinična
 cijena</t>
  </si>
  <si>
    <t xml:space="preserve">VATRODOJAVA </t>
  </si>
  <si>
    <t xml:space="preserve">Dobava, isporuka, montaža analogno adresabilne centrale za dojavu požara SYNCRO AS (1 petlja)
- ugrađene jedna petlje, mogućnost ugradnje 2. petlje
- 127 elemenata po petlji
- mogućnost umrežavanja sa Syncro centralama
- ugrađenom upravljačkom pločom na hrvatskom jeziku,
- LCD zaslonom za prikaz svih događaja 240 x 64 pix,
- memorijom za pamćenje zadnjih 500 događaja,
- 2 nadzirana izlaza za sirene, 
- 3 programska relejna izlaza, 
- 5 programskih ulaza
- odobrenja po EN54-2/EN54-4
- veće kućište za smještaj 17 Ah, 12 V baterija, 2 komada
- izlaza, 5 programskih ulaza
</t>
  </si>
  <si>
    <t>KENTEC – PRODUKTRONIKA</t>
  </si>
  <si>
    <t>Dobava i ugradnja u centralu za dojavu požara Acu. Bat. 12V, 12Ah.</t>
  </si>
  <si>
    <t xml:space="preserve">Dobava, isporuka, montaža protupožarnog ormarića za ugradnju vatrodojavne centrale sa ugrađenim zaokretnim djelomično ostakljenim vratima, u klasi T- 60'. Izrada od čeličnog pocinčanog lima .Ugrađene protupožarne ventilacijske rešetke u plašt ormarića (2 kom).Završna obrada plastifikacija u RAL 9010.
Ostakljenje vrata izvodi se sa p.p. staklom u klasi F-60',debljine 21 mm.
- vel. ormarića 90 x 80 x 30 cm
- Ugradnja na zid od cigle ili AB zid
- Instalacija podžbukna
</t>
  </si>
  <si>
    <t>METALIND</t>
  </si>
  <si>
    <t xml:space="preserve">Dobava, isporuka, montaža ALN-EN analogno adresabilnih optičkih detektora dima s individualnom adresom.
</t>
  </si>
  <si>
    <t>HOCHIKI – PRODUKTRONIKA</t>
  </si>
  <si>
    <t>Dobava, isporuka, montaža ATJ-EN analogno adresabilnih termičkih detektora s individualnom adresom.</t>
  </si>
  <si>
    <t xml:space="preserve">Dobava, isporuka, montaža HCP-E(SCI) analogno adresabilnih ručnih javljača požara sa ugrađenim izolatorom petlje s individualnom adresom.
</t>
  </si>
  <si>
    <t>Dobava, isporuka, montaža SR montažne kutijice za ručne javljače.</t>
  </si>
  <si>
    <t>Dobava, isporuka, montaža YBN-R/3 univerzalnog podnožja za automatske javljače.</t>
  </si>
  <si>
    <t xml:space="preserve">Dobava, isporuka, montaža nosača za montažu detektora u kosini potkrovlja. </t>
  </si>
  <si>
    <t>Dobava, isporuka, montaža YBO-BSB adresabilne sirene s bljeskalicom u petlji-na podnožju s javljačem.</t>
  </si>
  <si>
    <t>Dobava, isporuka, montaža BANSHEE EXCEL sirenu s bljeskalicom za unutarnju i vanjsku montažu-crvene.</t>
  </si>
  <si>
    <t>Dobava, isporuka, montaža vodotjesnog podnožja za sirenu za vanjsku upotrebu</t>
  </si>
  <si>
    <t>Dobava, isporuka, montaža CHQ-MRC2 izlazno/ ulaznog modula s 1 izlazom za upravljanje 1 ulazom za prihvat signala.</t>
  </si>
  <si>
    <t>Dobava i ugradnja telefonskog dojavnika sa mogućnošću podešavanje govorne poruke i/ili odgovarajućeg protokola za povezivanje na dojavni centar. Dojavnik treba imati 2 programibilna ulaza za prijenos informacije ALARM i GREŠKA.</t>
  </si>
  <si>
    <t>PRODUKTRONIKA</t>
  </si>
  <si>
    <t>Dobava, isporuka, montaža u PNT cijevi vatrodojavnog kabla BMY(st)Y 2x2x0,8mm2 crvene boje za spajanje detektora požara, modula i sirena s vatrodojavnom centralom zajedno s PNT cijevima fi16 i montažnim priborom.</t>
  </si>
  <si>
    <t>Programiranje sustava te obuka korisnika, izdavanje jamstvenog lista i pisanih uputa.</t>
  </si>
  <si>
    <t>Ispitivanje sustava za dojavu požara od strane nadležne inspekcijske ustanove</t>
  </si>
  <si>
    <t>Izrada projekta izvedenog stanja.</t>
  </si>
  <si>
    <t>VATRODOJAVA UKUPNO:</t>
  </si>
  <si>
    <t xml:space="preserve">MAPA 1 </t>
  </si>
  <si>
    <t>ARHITEKTURA</t>
  </si>
  <si>
    <t>STROJARSTVO</t>
  </si>
  <si>
    <t>VODOVOD I KANALIZACIJA</t>
  </si>
  <si>
    <t>MAPA 4</t>
  </si>
  <si>
    <t>KNJIGA 1 - ELEKTROINSTALACIJE</t>
  </si>
  <si>
    <t>MAPA 5</t>
  </si>
  <si>
    <t xml:space="preserve"> KNJIGA 2 - VATRODOJAVA</t>
  </si>
  <si>
    <t>MAPA</t>
  </si>
  <si>
    <t>VRSTA TROŠKOVNIKA</t>
  </si>
  <si>
    <t>CIJENA</t>
  </si>
  <si>
    <t>UKUPNA CIJENA SA PDV-OM</t>
  </si>
  <si>
    <t>UKUPNA CIJENA BEZ PDV-A</t>
  </si>
  <si>
    <t>Jednakovrijedan proizvod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</si>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</sst>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n&quot;_-;\-* #,##0.00\ &quot;kn&quot;_-;_-* &quot;-&quot;??\ &quot;kn&quot;_-;_-@_-"/>
    <numFmt numFmtId="43" formatCode="_-* #,##0.00\ _k_n_-;\-* #,##0.00\ _k_n_-;_-* &quot;-&quot;??\ _k_n_-;_-@_-"/>
    <numFmt numFmtId="164" formatCode="#,##0.00_ ;\-#,##0.00\ "/>
    <numFmt numFmtId="165" formatCode="_-* #,##0.00_-;\-* #,##0.00_-;_-* \-??_-;_-@_-"/>
    <numFmt numFmtId="166" formatCode="#&quot;.&quot;"/>
    <numFmt numFmtId="167" formatCode="0.00;[Red]0.00"/>
    <numFmt numFmtId="168" formatCode="#,##0.00\ _k_n;[Red]#,##0.00\ _k_n"/>
    <numFmt numFmtId="169" formatCode="_-* #,##0.000\ _K_n_-;\-* #,##0.000\ _K_n_-;_-* &quot;-&quot;??\ _K_n_-;_-@_-"/>
    <numFmt numFmtId="170" formatCode="&quot;10.&quot;@\."/>
  </numFmts>
  <fonts count="111">
    <font>
      <sz val="10"/>
      <name val="Arial"/>
      <charset val="238"/>
    </font>
    <font>
      <sz val="11"/>
      <color theme="1"/>
      <name val="Calibri"/>
      <family val="2"/>
      <charset val="238"/>
      <scheme val="minor"/>
    </font>
    <font>
      <sz val="11"/>
      <color indexed="8"/>
      <name val="Calibri"/>
      <family val="2"/>
      <charset val="238"/>
    </font>
    <font>
      <sz val="10"/>
      <name val="Arial"/>
      <family val="2"/>
      <charset val="238"/>
    </font>
    <font>
      <sz val="11"/>
      <name val="Arial"/>
      <family val="2"/>
      <charset val="238"/>
    </font>
    <font>
      <sz val="10"/>
      <name val="Arial"/>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Helv"/>
      <charset val="204"/>
    </font>
    <font>
      <sz val="8"/>
      <name val="Times New Roman"/>
      <family val="1"/>
      <charset val="238"/>
    </font>
    <font>
      <b/>
      <sz val="10"/>
      <name val="Arial"/>
      <family val="2"/>
    </font>
    <font>
      <sz val="10"/>
      <name val="Arial"/>
      <family val="2"/>
    </font>
    <font>
      <sz val="10"/>
      <name val="Arial"/>
      <family val="2"/>
      <charset val="204"/>
    </font>
    <font>
      <sz val="10"/>
      <color indexed="8"/>
      <name val="Century Gothic"/>
      <family val="2"/>
      <charset val="238"/>
    </font>
    <font>
      <sz val="11"/>
      <name val="Arial"/>
      <family val="2"/>
      <charset val="238"/>
    </font>
    <font>
      <sz val="11"/>
      <name val="Arial"/>
      <family val="2"/>
    </font>
    <font>
      <sz val="12"/>
      <color indexed="8"/>
      <name val="Arial"/>
      <family val="2"/>
    </font>
    <font>
      <sz val="8"/>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9"/>
      <color indexed="8"/>
      <name val="Calibri"/>
      <family val="2"/>
      <charset val="238"/>
      <scheme val="minor"/>
    </font>
    <font>
      <b/>
      <sz val="10"/>
      <color indexed="8"/>
      <name val="Calibri"/>
      <family val="2"/>
      <charset val="238"/>
      <scheme val="minor"/>
    </font>
    <font>
      <sz val="10"/>
      <name val="Calibri"/>
      <family val="2"/>
      <charset val="238"/>
      <scheme val="minor"/>
    </font>
    <font>
      <b/>
      <sz val="10"/>
      <color indexed="10"/>
      <name val="Calibri"/>
      <family val="2"/>
      <charset val="238"/>
      <scheme val="minor"/>
    </font>
    <font>
      <sz val="10"/>
      <color indexed="8"/>
      <name val="Calibri"/>
      <family val="2"/>
      <charset val="238"/>
      <scheme val="minor"/>
    </font>
    <font>
      <sz val="12"/>
      <name val="Calibri"/>
      <family val="2"/>
      <charset val="238"/>
      <scheme val="minor"/>
    </font>
    <font>
      <b/>
      <sz val="12"/>
      <color indexed="10"/>
      <name val="Calibri"/>
      <family val="2"/>
      <charset val="238"/>
      <scheme val="minor"/>
    </font>
    <font>
      <sz val="12"/>
      <color indexed="8"/>
      <name val="Calibri"/>
      <family val="2"/>
      <charset val="238"/>
      <scheme val="minor"/>
    </font>
    <font>
      <b/>
      <sz val="12"/>
      <name val="Calibri"/>
      <family val="2"/>
      <charset val="238"/>
      <scheme val="minor"/>
    </font>
    <font>
      <b/>
      <i/>
      <sz val="10"/>
      <color theme="0" tint="-0.499984740745262"/>
      <name val="Calibri"/>
      <family val="2"/>
      <charset val="238"/>
      <scheme val="minor"/>
    </font>
    <font>
      <b/>
      <sz val="14"/>
      <name val="Calibri"/>
      <family val="2"/>
      <charset val="238"/>
      <scheme val="minor"/>
    </font>
    <font>
      <b/>
      <sz val="10"/>
      <name val="Arial"/>
      <family val="2"/>
      <charset val="238"/>
    </font>
    <font>
      <sz val="10"/>
      <color rgb="FFFF0000"/>
      <name val="Calibri"/>
      <family val="2"/>
      <charset val="238"/>
      <scheme val="minor"/>
    </font>
    <font>
      <sz val="10"/>
      <name val="Arial Narrow"/>
      <family val="2"/>
      <charset val="238"/>
    </font>
    <font>
      <b/>
      <sz val="11"/>
      <name val="Arial"/>
      <family val="2"/>
      <charset val="238"/>
    </font>
    <font>
      <i/>
      <sz val="10"/>
      <color indexed="8"/>
      <name val="Arial"/>
      <family val="2"/>
      <charset val="238"/>
    </font>
    <font>
      <b/>
      <i/>
      <sz val="10"/>
      <name val="Calibri"/>
      <family val="2"/>
      <charset val="238"/>
      <scheme val="minor"/>
    </font>
    <font>
      <i/>
      <sz val="10"/>
      <color indexed="8"/>
      <name val="Calibri"/>
      <family val="2"/>
      <charset val="238"/>
      <scheme val="minor"/>
    </font>
    <font>
      <vertAlign val="superscript"/>
      <sz val="10"/>
      <name val="Calibri"/>
      <family val="2"/>
      <charset val="238"/>
      <scheme val="minor"/>
    </font>
    <font>
      <sz val="8"/>
      <name val="Arial"/>
      <family val="2"/>
      <charset val="238"/>
    </font>
    <font>
      <u/>
      <sz val="10"/>
      <name val="Calibri"/>
      <family val="2"/>
      <charset val="238"/>
      <scheme val="minor"/>
    </font>
    <font>
      <sz val="12"/>
      <color indexed="8"/>
      <name val="Arial"/>
      <family val="2"/>
      <charset val="238"/>
    </font>
    <font>
      <sz val="10"/>
      <name val="Arial CE"/>
      <family val="2"/>
      <charset val="238"/>
    </font>
    <font>
      <b/>
      <i/>
      <sz val="12"/>
      <name val="CRO_Swiss_Con"/>
    </font>
    <font>
      <b/>
      <sz val="11"/>
      <name val="CRO_Swiss_Con"/>
    </font>
    <font>
      <i/>
      <sz val="11"/>
      <name val="CRO_Avant_Garde_II"/>
    </font>
    <font>
      <sz val="9"/>
      <name val="CRO_Avant_Garde"/>
    </font>
    <font>
      <b/>
      <sz val="14"/>
      <name val="CRO_Avant_Garde_II"/>
    </font>
    <font>
      <i/>
      <sz val="10"/>
      <name val="CRO_Avant_Garde_II"/>
    </font>
    <font>
      <b/>
      <sz val="11"/>
      <name val="CRO_Avant_Garde_II"/>
    </font>
    <font>
      <sz val="10"/>
      <name val="Arial CE"/>
    </font>
    <font>
      <sz val="11"/>
      <color indexed="8"/>
      <name val="Arial"/>
      <family val="2"/>
    </font>
    <font>
      <sz val="12"/>
      <name val="Times New Roman CE"/>
      <family val="1"/>
      <charset val="238"/>
    </font>
    <font>
      <sz val="10"/>
      <name val="Times New Roman CE"/>
      <family val="1"/>
      <charset val="238"/>
    </font>
    <font>
      <sz val="11"/>
      <color theme="1"/>
      <name val="Calibri"/>
      <family val="2"/>
      <charset val="238"/>
      <scheme val="minor"/>
    </font>
    <font>
      <i/>
      <sz val="10"/>
      <name val="Calibri"/>
      <family val="2"/>
      <charset val="238"/>
      <scheme val="minor"/>
    </font>
    <font>
      <b/>
      <sz val="28"/>
      <name val="Calibri"/>
      <family val="2"/>
      <charset val="238"/>
      <scheme val="minor"/>
    </font>
    <font>
      <b/>
      <sz val="10"/>
      <color rgb="FFFF0000"/>
      <name val="Calibri"/>
      <family val="2"/>
      <charset val="238"/>
      <scheme val="minor"/>
    </font>
    <font>
      <i/>
      <vertAlign val="superscript"/>
      <sz val="10"/>
      <name val="Calibri"/>
      <family val="2"/>
      <charset val="238"/>
      <scheme val="minor"/>
    </font>
    <font>
      <sz val="8"/>
      <color theme="1"/>
      <name val="Arial"/>
      <family val="2"/>
      <charset val="238"/>
    </font>
    <font>
      <sz val="9"/>
      <color theme="1"/>
      <name val="Arial"/>
      <family val="2"/>
      <charset val="238"/>
    </font>
    <font>
      <b/>
      <sz val="9"/>
      <color theme="1"/>
      <name val="Arial"/>
      <family val="2"/>
      <charset val="238"/>
    </font>
    <font>
      <b/>
      <sz val="10"/>
      <name val="Arial Narrow"/>
      <family val="2"/>
      <charset val="238"/>
    </font>
    <font>
      <b/>
      <vertAlign val="subscript"/>
      <sz val="10"/>
      <name val="Arial Narrow"/>
      <family val="2"/>
      <charset val="238"/>
    </font>
    <font>
      <sz val="10"/>
      <name val="Symbol"/>
      <family val="1"/>
      <charset val="2"/>
    </font>
    <font>
      <b/>
      <vertAlign val="subscript"/>
      <sz val="10"/>
      <name val="Symbol"/>
      <family val="1"/>
      <charset val="2"/>
    </font>
    <font>
      <sz val="10"/>
      <name val="Calibri"/>
      <family val="2"/>
      <charset val="238"/>
    </font>
    <font>
      <sz val="10"/>
      <color rgb="FFFF0000"/>
      <name val="Arial"/>
      <family val="2"/>
      <charset val="238"/>
    </font>
    <font>
      <i/>
      <u/>
      <sz val="10"/>
      <name val="Calibri"/>
      <family val="2"/>
      <charset val="238"/>
      <scheme val="minor"/>
    </font>
    <font>
      <sz val="9"/>
      <name val="Arial"/>
      <family val="2"/>
      <charset val="238"/>
    </font>
    <font>
      <sz val="9"/>
      <name val="Arial CE"/>
      <charset val="238"/>
    </font>
    <font>
      <sz val="9"/>
      <name val="Arial CE"/>
      <family val="2"/>
      <charset val="238"/>
    </font>
    <font>
      <sz val="10"/>
      <name val="Arial"/>
      <charset val="238"/>
    </font>
    <font>
      <b/>
      <sz val="10"/>
      <name val="Calibri"/>
      <family val="2"/>
      <charset val="238"/>
    </font>
    <font>
      <b/>
      <u/>
      <sz val="10"/>
      <name val="Calibri"/>
      <family val="2"/>
      <charset val="238"/>
    </font>
    <font>
      <b/>
      <sz val="8"/>
      <name val="Calibri"/>
      <family val="2"/>
      <charset val="238"/>
    </font>
    <font>
      <b/>
      <sz val="8"/>
      <name val="Calibri"/>
      <family val="2"/>
      <charset val="238"/>
      <scheme val="minor"/>
    </font>
    <font>
      <u/>
      <sz val="9"/>
      <name val="Calibri"/>
      <family val="2"/>
      <charset val="238"/>
      <scheme val="minor"/>
    </font>
    <font>
      <b/>
      <u/>
      <sz val="9"/>
      <name val="Calibri"/>
      <family val="2"/>
      <charset val="238"/>
      <scheme val="minor"/>
    </font>
    <font>
      <b/>
      <i/>
      <sz val="9"/>
      <name val="Calibri"/>
      <family val="2"/>
      <charset val="238"/>
      <scheme val="minor"/>
    </font>
    <font>
      <vertAlign val="superscript"/>
      <sz val="9"/>
      <name val="Calibri"/>
      <family val="2"/>
      <charset val="238"/>
      <scheme val="minor"/>
    </font>
    <font>
      <sz val="9"/>
      <color theme="1"/>
      <name val="Calibri"/>
      <family val="2"/>
      <scheme val="minor"/>
    </font>
    <font>
      <sz val="9"/>
      <name val="Calibri"/>
      <family val="2"/>
      <scheme val="minor"/>
    </font>
    <font>
      <sz val="9"/>
      <color theme="1"/>
      <name val="Calibri"/>
      <family val="2"/>
      <charset val="238"/>
      <scheme val="minor"/>
    </font>
    <font>
      <sz val="10"/>
      <name val="Helv"/>
      <charset val="238"/>
    </font>
    <font>
      <i/>
      <sz val="9"/>
      <name val="Calibri"/>
      <family val="2"/>
      <charset val="238"/>
      <scheme val="minor"/>
    </font>
    <font>
      <i/>
      <sz val="10"/>
      <name val="Arial"/>
      <family val="2"/>
      <charset val="238"/>
    </font>
    <font>
      <b/>
      <i/>
      <sz val="10"/>
      <name val="Arial"/>
      <family val="2"/>
      <charset val="238"/>
    </font>
    <font>
      <b/>
      <i/>
      <sz val="10"/>
      <name val="Arial CE"/>
    </font>
    <font>
      <vertAlign val="superscript"/>
      <sz val="11"/>
      <name val="Arial"/>
      <family val="2"/>
      <charset val="238"/>
    </font>
    <font>
      <sz val="10"/>
      <name val="Times New Roman"/>
      <family val="1"/>
      <charset val="238"/>
    </font>
    <font>
      <b/>
      <sz val="10"/>
      <name val="Arial CE"/>
      <family val="2"/>
      <charset val="238"/>
    </font>
    <font>
      <sz val="9"/>
      <name val="Calibri"/>
      <family val="2"/>
      <charset val="23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55"/>
      </patternFill>
    </fill>
    <fill>
      <patternFill patternType="solid">
        <fgColor indexed="43"/>
      </patternFill>
    </fill>
    <fill>
      <patternFill patternType="solid">
        <fgColor rgb="FFFFFF99"/>
        <bgColor indexed="64"/>
      </patternFill>
    </fill>
    <fill>
      <patternFill patternType="solid">
        <fgColor rgb="FFFFCC99"/>
        <bgColor indexed="64"/>
      </patternFill>
    </fill>
    <fill>
      <patternFill patternType="solid">
        <fgColor rgb="FF99CCFF"/>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medium">
        <color indexed="64"/>
      </top>
      <bottom style="medium">
        <color indexed="64"/>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auto="1"/>
      </top>
      <bottom style="thin">
        <color auto="1"/>
      </bottom>
      <diagonal/>
    </border>
    <border>
      <left/>
      <right/>
      <top style="thin">
        <color auto="1"/>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auto="1"/>
      </right>
      <top/>
      <bottom/>
      <diagonal/>
    </border>
    <border>
      <left style="double">
        <color auto="1"/>
      </left>
      <right/>
      <top/>
      <bottom/>
      <diagonal/>
    </border>
    <border>
      <left/>
      <right style="thin">
        <color auto="1"/>
      </right>
      <top/>
      <bottom style="thin">
        <color indexed="64"/>
      </bottom>
      <diagonal/>
    </border>
    <border>
      <left style="thin">
        <color auto="1"/>
      </left>
      <right/>
      <top/>
      <bottom style="thin">
        <color indexed="64"/>
      </bottom>
      <diagonal/>
    </border>
    <border>
      <left style="double">
        <color auto="1"/>
      </left>
      <right/>
      <top/>
      <bottom style="thin">
        <color indexed="64"/>
      </bottom>
      <diagonal/>
    </border>
    <border>
      <left style="double">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double">
        <color auto="1"/>
      </left>
      <right/>
      <top style="thin">
        <color auto="1"/>
      </top>
      <bottom style="double">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right/>
      <top/>
      <bottom style="hair">
        <color indexed="8"/>
      </bottom>
      <diagonal/>
    </border>
    <border>
      <left/>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diagonal/>
    </border>
    <border>
      <left/>
      <right style="hair">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top style="double">
        <color indexed="8"/>
      </top>
      <bottom style="double">
        <color indexed="8"/>
      </bottom>
      <diagonal/>
    </border>
    <border>
      <left/>
      <right/>
      <top/>
      <bottom style="hair">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587">
    <xf numFmtId="0" fontId="0" fillId="0" borderId="0"/>
    <xf numFmtId="0" fontId="23" fillId="0" borderId="0"/>
    <xf numFmtId="0" fontId="27" fillId="0" borderId="0"/>
    <xf numFmtId="0" fontId="23" fillId="0" borderId="0"/>
    <xf numFmtId="0" fontId="6" fillId="0" borderId="0"/>
    <xf numFmtId="0" fontId="26" fillId="0" borderId="0"/>
    <xf numFmtId="0" fontId="26" fillId="0" borderId="0"/>
    <xf numFmtId="0" fontId="6"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26" fillId="21" borderId="1" applyNumberFormat="0" applyAlignment="0" applyProtection="0"/>
    <xf numFmtId="0" fontId="26" fillId="21" borderId="1" applyNumberFormat="0" applyAlignment="0" applyProtection="0"/>
    <xf numFmtId="0" fontId="26" fillId="21" borderId="1" applyNumberForma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26" fillId="21" borderId="1" applyNumberFormat="0" applyAlignment="0" applyProtection="0"/>
    <xf numFmtId="4" fontId="24" fillId="0" borderId="0">
      <alignment horizontal="right"/>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0" fontId="12" fillId="4" borderId="0" applyNumberFormat="0" applyBorder="0" applyAlignment="0" applyProtection="0"/>
    <xf numFmtId="0" fontId="26"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9" fillId="22" borderId="7" applyNumberFormat="0" applyAlignment="0" applyProtection="0"/>
    <xf numFmtId="0" fontId="9" fillId="22" borderId="2" applyNumberFormat="0" applyAlignment="0" applyProtection="0"/>
    <xf numFmtId="1" fontId="24" fillId="0" borderId="0">
      <alignment horizontal="center" vertical="top"/>
      <protection locked="0"/>
    </xf>
    <xf numFmtId="49" fontId="24" fillId="0" borderId="0">
      <alignment horizontal="left" vertical="top" wrapText="1"/>
      <protection locked="0"/>
    </xf>
    <xf numFmtId="49" fontId="24" fillId="0" borderId="0">
      <alignment horizontal="center"/>
      <protection locked="0"/>
    </xf>
    <xf numFmtId="0" fontId="28" fillId="0" borderId="0" applyBorder="0" applyProtection="0">
      <alignment horizontal="right" vertical="top" wrapText="1"/>
    </xf>
    <xf numFmtId="0" fontId="8" fillId="3" borderId="0" applyNumberFormat="0" applyBorder="0" applyAlignment="0" applyProtection="0"/>
    <xf numFmtId="0" fontId="5" fillId="0" borderId="0">
      <alignment horizontal="justify" vertical="top" wrapText="1"/>
    </xf>
    <xf numFmtId="0" fontId="28" fillId="0" borderId="0" applyBorder="0">
      <alignment horizontal="justify" vertical="top" wrapText="1"/>
      <protection locked="0"/>
    </xf>
    <xf numFmtId="0" fontId="20" fillId="0" borderId="0" applyNumberFormat="0" applyFill="0" applyBorder="0" applyAlignment="0" applyProtection="0"/>
    <xf numFmtId="0" fontId="13" fillId="0" borderId="4" applyNumberFormat="0" applyFill="0" applyAlignment="0" applyProtection="0"/>
    <xf numFmtId="0" fontId="13" fillId="0" borderId="4" applyNumberFormat="0" applyFill="0" applyAlignment="0" applyProtection="0"/>
    <xf numFmtId="0" fontId="20"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49" fontId="25" fillId="0" borderId="9">
      <alignment horizontal="left" vertical="center" wrapText="1"/>
      <protection locked="0"/>
    </xf>
    <xf numFmtId="0" fontId="18"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 fontId="4" fillId="0" borderId="0">
      <alignment horizontal="justify" vertical="justify"/>
    </xf>
    <xf numFmtId="4" fontId="30" fillId="0" borderId="0">
      <alignment horizontal="justify"/>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8" applyNumberFormat="0" applyFill="0" applyAlignment="0" applyProtection="0"/>
    <xf numFmtId="0" fontId="10" fillId="23" borderId="3" applyNumberFormat="0" applyAlignment="0" applyProtection="0"/>
    <xf numFmtId="1" fontId="28" fillId="0" borderId="0" applyFill="0" applyBorder="0" applyProtection="0">
      <alignment horizontal="center" vertical="top" wrapText="1"/>
    </xf>
    <xf numFmtId="0" fontId="6" fillId="0" borderId="0"/>
    <xf numFmtId="0" fontId="6" fillId="0" borderId="0"/>
    <xf numFmtId="0" fontId="11" fillId="0" borderId="0" applyNumberFormat="0" applyFill="0" applyBorder="0" applyAlignment="0" applyProtection="0"/>
    <xf numFmtId="0" fontId="22" fillId="0" borderId="0" applyNumberFormat="0" applyFill="0" applyBorder="0" applyAlignment="0" applyProtection="0"/>
    <xf numFmtId="0" fontId="21" fillId="0" borderId="10" applyNumberFormat="0" applyFill="0" applyAlignment="0" applyProtection="0"/>
    <xf numFmtId="0" fontId="16" fillId="7" borderId="2" applyNumberFormat="0" applyAlignment="0" applyProtection="0"/>
    <xf numFmtId="4" fontId="31" fillId="0" borderId="0" applyBorder="0">
      <alignment horizontal="right" wrapText="1"/>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6"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71" fillId="0" borderId="0">
      <alignment horizontal="right" vertical="top"/>
    </xf>
    <xf numFmtId="0" fontId="70" fillId="0" borderId="0">
      <alignment horizontal="justify" vertical="top" wrapText="1"/>
    </xf>
    <xf numFmtId="0" fontId="71" fillId="0" borderId="0">
      <alignment horizontal="left"/>
    </xf>
    <xf numFmtId="4" fontId="70" fillId="0" borderId="0">
      <alignment horizontal="right"/>
    </xf>
    <xf numFmtId="0" fontId="70" fillId="0" borderId="0">
      <alignment horizontal="right"/>
    </xf>
    <xf numFmtId="4" fontId="70" fillId="0" borderId="0">
      <alignment horizontal="right" wrapText="1"/>
    </xf>
    <xf numFmtId="0" fontId="70" fillId="0" borderId="0">
      <alignment horizontal="right"/>
    </xf>
    <xf numFmtId="0" fontId="61" fillId="0" borderId="0">
      <alignment horizontal="centerContinuous" vertical="center"/>
    </xf>
    <xf numFmtId="0" fontId="62" fillId="0" borderId="0">
      <alignment horizontal="center" vertical="center"/>
    </xf>
    <xf numFmtId="0" fontId="63" fillId="0" borderId="0">
      <alignment horizontal="justify" vertical="center"/>
    </xf>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3" fillId="0" borderId="0" applyNumberFormat="0" applyFont="0" applyFill="0" applyBorder="0" applyAlignment="0" applyProtection="0">
      <alignment vertical="top"/>
    </xf>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69" fillId="0" borderId="0">
      <alignment horizontal="justify" vertical="justify"/>
    </xf>
    <xf numFmtId="4" fontId="4" fillId="0" borderId="0">
      <alignment horizontal="justify" wrapText="1"/>
    </xf>
    <xf numFmtId="0" fontId="4" fillId="0" borderId="0">
      <alignment horizontal="justify"/>
    </xf>
    <xf numFmtId="0" fontId="3" fillId="0" borderId="0"/>
    <xf numFmtId="0" fontId="3" fillId="0" borderId="0"/>
    <xf numFmtId="9" fontId="3" fillId="0" borderId="0" applyFont="0" applyFill="0" applyBorder="0" applyAlignment="0" applyProtection="0"/>
    <xf numFmtId="49" fontId="64" fillId="0" borderId="0">
      <alignment horizontal="left" vertical="top" wrapText="1"/>
    </xf>
    <xf numFmtId="49" fontId="65" fillId="0" borderId="0">
      <alignment horizontal="centerContinuous" vertical="top" wrapText="1"/>
    </xf>
    <xf numFmtId="0" fontId="66" fillId="0" borderId="0">
      <alignment horizontal="justify" vertical="top"/>
    </xf>
    <xf numFmtId="0" fontId="67" fillId="0" borderId="19" applyNumberFormat="0" applyBorder="0" applyAlignment="0">
      <alignment horizontal="center"/>
    </xf>
    <xf numFmtId="4" fontId="31" fillId="0" borderId="11" applyBorder="0">
      <alignment horizontal="right" wrapText="1"/>
    </xf>
    <xf numFmtId="4" fontId="59" fillId="0" borderId="0" applyBorder="0">
      <alignment horizontal="right" wrapText="1"/>
    </xf>
    <xf numFmtId="0" fontId="6" fillId="0" borderId="0"/>
    <xf numFmtId="44" fontId="90" fillId="0" borderId="0" applyFont="0" applyFill="0" applyBorder="0" applyAlignment="0" applyProtection="0"/>
    <xf numFmtId="165" fontId="3" fillId="0" borderId="0" applyFill="0" applyBorder="0" applyAlignment="0" applyProtection="0"/>
    <xf numFmtId="0" fontId="1" fillId="0" borderId="0"/>
    <xf numFmtId="0" fontId="3" fillId="0" borderId="0"/>
    <xf numFmtId="0" fontId="3" fillId="0" borderId="0"/>
    <xf numFmtId="0" fontId="3" fillId="0" borderId="0"/>
    <xf numFmtId="0" fontId="102" fillId="0" borderId="0"/>
    <xf numFmtId="43" fontId="90" fillId="0" borderId="0" applyFont="0" applyFill="0" applyBorder="0" applyAlignment="0" applyProtection="0"/>
  </cellStyleXfs>
  <cellXfs count="1315">
    <xf numFmtId="0" fontId="0" fillId="0" borderId="0" xfId="0"/>
    <xf numFmtId="0" fontId="32" fillId="0" borderId="0" xfId="377" applyFont="1" applyBorder="1"/>
    <xf numFmtId="0" fontId="33" fillId="0" borderId="0" xfId="377" applyFont="1" applyBorder="1" applyAlignment="1">
      <alignment horizontal="right"/>
    </xf>
    <xf numFmtId="49" fontId="33" fillId="0" borderId="0" xfId="377" applyNumberFormat="1" applyFont="1" applyBorder="1" applyAlignment="1">
      <alignment horizontal="right"/>
    </xf>
    <xf numFmtId="0" fontId="33" fillId="0" borderId="11" xfId="377" applyFont="1" applyBorder="1" applyAlignment="1">
      <alignment horizontal="left"/>
    </xf>
    <xf numFmtId="0" fontId="32" fillId="0" borderId="0" xfId="377" applyFont="1" applyBorder="1" applyAlignment="1"/>
    <xf numFmtId="0" fontId="32" fillId="0" borderId="11" xfId="377" applyFont="1" applyBorder="1"/>
    <xf numFmtId="49" fontId="34" fillId="0" borderId="0" xfId="305" applyNumberFormat="1" applyFont="1" applyFill="1" applyBorder="1" applyAlignment="1" applyProtection="1">
      <alignment horizontal="left" vertical="center"/>
    </xf>
    <xf numFmtId="0" fontId="33" fillId="0" borderId="0" xfId="305" applyNumberFormat="1" applyFont="1" applyFill="1" applyBorder="1" applyAlignment="1" applyProtection="1">
      <alignment vertical="top"/>
    </xf>
    <xf numFmtId="0" fontId="35" fillId="0" borderId="0" xfId="305" applyFont="1" applyFill="1" applyBorder="1" applyAlignment="1" applyProtection="1">
      <alignment horizontal="right"/>
    </xf>
    <xf numFmtId="4" fontId="35" fillId="0" borderId="0" xfId="305" applyNumberFormat="1" applyFont="1" applyFill="1" applyBorder="1" applyAlignment="1" applyProtection="1">
      <alignment horizontal="right" vertical="center"/>
    </xf>
    <xf numFmtId="4" fontId="36" fillId="0" borderId="0" xfId="132" applyNumberFormat="1" applyFont="1" applyFill="1" applyBorder="1" applyAlignment="1" applyProtection="1">
      <alignment horizontal="right" vertical="center"/>
    </xf>
    <xf numFmtId="0" fontId="34" fillId="0" borderId="0" xfId="132" applyNumberFormat="1" applyFont="1" applyFill="1" applyBorder="1" applyAlignment="1" applyProtection="1">
      <alignment horizontal="center" vertical="center"/>
    </xf>
    <xf numFmtId="0" fontId="40" fillId="0" borderId="0" xfId="0" applyFont="1" applyAlignment="1">
      <alignment horizontal="center" vertical="top"/>
    </xf>
    <xf numFmtId="0" fontId="40" fillId="0" borderId="0" xfId="377" applyFont="1" applyBorder="1" applyProtection="1"/>
    <xf numFmtId="0" fontId="40" fillId="0" borderId="0" xfId="0" applyFont="1" applyBorder="1"/>
    <xf numFmtId="0" fontId="40" fillId="0" borderId="11" xfId="377" applyFont="1" applyBorder="1" applyProtection="1"/>
    <xf numFmtId="0" fontId="40" fillId="0" borderId="11" xfId="377" applyFont="1" applyBorder="1" applyAlignment="1" applyProtection="1">
      <alignment horizontal="justify"/>
    </xf>
    <xf numFmtId="0" fontId="40" fillId="0" borderId="0" xfId="0" applyFont="1" applyAlignment="1" applyProtection="1">
      <alignment horizontal="center" vertical="top"/>
    </xf>
    <xf numFmtId="0" fontId="40" fillId="0" borderId="0" xfId="0" applyFont="1" applyAlignment="1" applyProtection="1">
      <alignment horizontal="center" vertical="top" wrapText="1"/>
    </xf>
    <xf numFmtId="0" fontId="35" fillId="0" borderId="0" xfId="305" applyFont="1" applyFill="1" applyBorder="1" applyAlignment="1" applyProtection="1"/>
    <xf numFmtId="0" fontId="37" fillId="0" borderId="0" xfId="0" applyFont="1" applyAlignment="1" applyProtection="1"/>
    <xf numFmtId="0" fontId="40" fillId="0" borderId="0" xfId="0" applyFont="1" applyFill="1" applyBorder="1" applyAlignment="1" applyProtection="1">
      <alignment horizontal="left" vertical="center"/>
    </xf>
    <xf numFmtId="3" fontId="42" fillId="0" borderId="0" xfId="0" applyNumberFormat="1" applyFont="1" applyFill="1" applyBorder="1" applyAlignment="1" applyProtection="1">
      <alignment horizontal="right" vertical="center"/>
    </xf>
    <xf numFmtId="4" fontId="42" fillId="0" borderId="0" xfId="0" applyNumberFormat="1" applyFont="1" applyFill="1" applyBorder="1" applyAlignment="1" applyProtection="1">
      <alignment horizontal="right" vertical="center"/>
    </xf>
    <xf numFmtId="4" fontId="42" fillId="0" borderId="0" xfId="0" applyNumberFormat="1" applyFont="1" applyFill="1" applyBorder="1" applyAlignment="1" applyProtection="1">
      <alignment horizontal="right"/>
    </xf>
    <xf numFmtId="0" fontId="42" fillId="0" borderId="0" xfId="0" applyFont="1" applyFill="1" applyBorder="1" applyAlignment="1" applyProtection="1">
      <alignment horizontal="center" vertical="center"/>
    </xf>
    <xf numFmtId="0" fontId="40" fillId="0" borderId="0" xfId="0" applyFont="1" applyAlignment="1" applyProtection="1"/>
    <xf numFmtId="0" fontId="43" fillId="0" borderId="0" xfId="0" applyFont="1" applyFill="1" applyBorder="1" applyAlignment="1" applyProtection="1">
      <alignment horizontal="left" vertical="center"/>
    </xf>
    <xf numFmtId="4" fontId="44" fillId="0" borderId="0" xfId="132" applyNumberFormat="1" applyFont="1" applyFill="1" applyBorder="1" applyAlignment="1" applyProtection="1">
      <alignment vertical="center"/>
    </xf>
    <xf numFmtId="3" fontId="45" fillId="0" borderId="0" xfId="0" applyNumberFormat="1" applyFont="1" applyFill="1" applyBorder="1" applyAlignment="1" applyProtection="1">
      <alignment horizontal="right" vertical="center"/>
    </xf>
    <xf numFmtId="4" fontId="45" fillId="0" borderId="0" xfId="0" applyNumberFormat="1" applyFont="1" applyFill="1" applyBorder="1" applyAlignment="1" applyProtection="1">
      <alignment horizontal="right" vertical="center"/>
    </xf>
    <xf numFmtId="4" fontId="45" fillId="0" borderId="0" xfId="0" applyNumberFormat="1" applyFont="1" applyFill="1" applyBorder="1" applyAlignment="1" applyProtection="1">
      <alignment horizontal="right"/>
    </xf>
    <xf numFmtId="0" fontId="45" fillId="0" borderId="0" xfId="0" applyFont="1" applyFill="1" applyBorder="1" applyAlignment="1" applyProtection="1">
      <alignment horizontal="center" vertical="center"/>
    </xf>
    <xf numFmtId="0" fontId="43" fillId="0" borderId="0" xfId="0" applyFont="1" applyAlignment="1" applyProtection="1"/>
    <xf numFmtId="2" fontId="46" fillId="0" borderId="0" xfId="377" applyNumberFormat="1" applyFont="1" applyBorder="1" applyAlignment="1" applyProtection="1">
      <alignment horizontal="left"/>
    </xf>
    <xf numFmtId="2" fontId="46" fillId="0" borderId="0" xfId="377" applyNumberFormat="1" applyFont="1" applyBorder="1" applyAlignment="1" applyProtection="1">
      <alignment vertical="top"/>
    </xf>
    <xf numFmtId="0" fontId="43" fillId="0" borderId="0" xfId="0" applyFont="1" applyBorder="1" applyAlignment="1" applyProtection="1">
      <alignment horizontal="center" vertical="center"/>
      <protection locked="0"/>
    </xf>
    <xf numFmtId="0" fontId="40" fillId="0" borderId="0" xfId="0" applyFont="1" applyBorder="1" applyAlignment="1" applyProtection="1">
      <alignment horizontal="right" vertical="center"/>
    </xf>
    <xf numFmtId="4" fontId="40" fillId="0" borderId="0" xfId="0" applyNumberFormat="1" applyFont="1" applyBorder="1" applyAlignment="1" applyProtection="1">
      <alignment horizontal="right" vertical="center"/>
    </xf>
    <xf numFmtId="4" fontId="40" fillId="0" borderId="0" xfId="0" applyNumberFormat="1" applyFont="1" applyBorder="1" applyAlignment="1" applyProtection="1">
      <alignment horizontal="right"/>
      <protection locked="0"/>
    </xf>
    <xf numFmtId="4" fontId="40" fillId="0" borderId="0" xfId="0" applyNumberFormat="1" applyFont="1" applyBorder="1" applyAlignment="1" applyProtection="1">
      <alignment horizontal="right"/>
    </xf>
    <xf numFmtId="0" fontId="40" fillId="0" borderId="0" xfId="0" applyFont="1" applyBorder="1" applyProtection="1">
      <protection locked="0"/>
    </xf>
    <xf numFmtId="0" fontId="33" fillId="0" borderId="0" xfId="377" applyFont="1" applyAlignment="1" applyProtection="1">
      <alignment horizontal="left" vertical="top"/>
    </xf>
    <xf numFmtId="2" fontId="33" fillId="0" borderId="0" xfId="377" applyNumberFormat="1" applyFont="1" applyAlignment="1" applyProtection="1">
      <alignment vertical="top"/>
    </xf>
    <xf numFmtId="0" fontId="40" fillId="0" borderId="0" xfId="377" applyFont="1" applyFill="1" applyBorder="1" applyAlignment="1" applyProtection="1">
      <alignment horizontal="right" vertical="center" wrapText="1"/>
    </xf>
    <xf numFmtId="4" fontId="40" fillId="0" borderId="0" xfId="377" applyNumberFormat="1" applyFont="1" applyFill="1" applyBorder="1" applyAlignment="1" applyProtection="1">
      <alignment horizontal="right" vertical="center" wrapText="1"/>
    </xf>
    <xf numFmtId="4" fontId="40" fillId="0" borderId="0" xfId="0" applyNumberFormat="1" applyFont="1" applyFill="1" applyBorder="1" applyAlignment="1" applyProtection="1">
      <alignment horizontal="right"/>
    </xf>
    <xf numFmtId="0" fontId="40" fillId="0" borderId="0" xfId="0" applyFont="1" applyFill="1" applyBorder="1" applyProtection="1">
      <protection locked="0"/>
    </xf>
    <xf numFmtId="0" fontId="40" fillId="0" borderId="0" xfId="0" applyFont="1" applyFill="1" applyBorder="1"/>
    <xf numFmtId="49" fontId="33" fillId="0" borderId="0" xfId="377" applyNumberFormat="1" applyFont="1" applyFill="1" applyBorder="1" applyAlignment="1" applyProtection="1">
      <alignment vertical="top" wrapText="1"/>
    </xf>
    <xf numFmtId="49" fontId="40" fillId="0" borderId="0" xfId="377" applyNumberFormat="1" applyFont="1" applyFill="1" applyBorder="1" applyAlignment="1" applyProtection="1">
      <alignment horizontal="left" vertical="top"/>
    </xf>
    <xf numFmtId="4" fontId="40" fillId="0" borderId="0" xfId="0" applyNumberFormat="1" applyFont="1" applyProtection="1">
      <protection locked="0"/>
    </xf>
    <xf numFmtId="0" fontId="40" fillId="0" borderId="0" xfId="0" applyFont="1" applyFill="1" applyBorder="1" applyAlignment="1">
      <alignment horizontal="left"/>
    </xf>
    <xf numFmtId="49" fontId="40" fillId="0" borderId="0" xfId="377" applyNumberFormat="1" applyFont="1" applyFill="1" applyBorder="1" applyAlignment="1" applyProtection="1">
      <alignment horizontal="left" vertical="top" wrapText="1"/>
    </xf>
    <xf numFmtId="0" fontId="40" fillId="0" borderId="0" xfId="0" applyFont="1" applyFill="1" applyBorder="1" applyAlignment="1" applyProtection="1">
      <alignment horizontal="left"/>
      <protection locked="0"/>
    </xf>
    <xf numFmtId="2" fontId="40" fillId="0" borderId="0" xfId="384" applyNumberFormat="1" applyFont="1" applyAlignment="1" applyProtection="1">
      <alignment horizontal="left" vertical="top" wrapText="1"/>
    </xf>
    <xf numFmtId="0" fontId="40" fillId="0" borderId="0" xfId="377" applyFont="1" applyAlignment="1" applyProtection="1">
      <alignment horizontal="left" vertical="top"/>
    </xf>
    <xf numFmtId="2" fontId="40" fillId="0" borderId="0" xfId="377" applyNumberFormat="1" applyFont="1" applyBorder="1" applyAlignment="1" applyProtection="1">
      <alignment vertical="top" wrapText="1"/>
    </xf>
    <xf numFmtId="49" fontId="40" fillId="0" borderId="0" xfId="0" applyNumberFormat="1" applyFont="1" applyAlignment="1" applyProtection="1">
      <alignment vertical="top" wrapText="1"/>
    </xf>
    <xf numFmtId="0" fontId="40" fillId="0" borderId="0" xfId="0" applyFont="1" applyAlignment="1">
      <alignment horizontal="center"/>
    </xf>
    <xf numFmtId="0" fontId="40" fillId="0" borderId="0" xfId="0" applyFont="1" applyBorder="1" applyAlignment="1" applyProtection="1">
      <alignment vertical="top" wrapText="1"/>
    </xf>
    <xf numFmtId="0" fontId="40" fillId="0" borderId="0" xfId="377" applyFont="1" applyAlignment="1" applyProtection="1">
      <alignment vertical="top"/>
    </xf>
    <xf numFmtId="49" fontId="40" fillId="0" borderId="0" xfId="0" applyNumberFormat="1" applyFont="1" applyBorder="1" applyAlignment="1" applyProtection="1">
      <alignment horizontal="left" vertical="top"/>
    </xf>
    <xf numFmtId="49" fontId="40" fillId="0" borderId="0" xfId="0" applyNumberFormat="1" applyFont="1" applyBorder="1" applyAlignment="1" applyProtection="1">
      <alignment vertical="top" wrapText="1"/>
    </xf>
    <xf numFmtId="49" fontId="33" fillId="0" borderId="0" xfId="0" applyNumberFormat="1" applyFont="1" applyBorder="1" applyAlignment="1" applyProtection="1">
      <alignment horizontal="left" vertical="top"/>
    </xf>
    <xf numFmtId="49" fontId="33" fillId="0" borderId="0" xfId="0" applyNumberFormat="1" applyFont="1" applyBorder="1" applyAlignment="1" applyProtection="1">
      <alignment vertical="top" wrapText="1"/>
    </xf>
    <xf numFmtId="0" fontId="33" fillId="0" borderId="0" xfId="377" applyFont="1" applyBorder="1" applyAlignment="1" applyProtection="1">
      <alignment horizontal="right" vertical="center"/>
    </xf>
    <xf numFmtId="0" fontId="40" fillId="0" borderId="0" xfId="377" applyFont="1" applyProtection="1"/>
    <xf numFmtId="0" fontId="41" fillId="0" borderId="0" xfId="377" applyFont="1" applyAlignment="1" applyProtection="1">
      <alignment horizontal="justify"/>
    </xf>
    <xf numFmtId="4" fontId="40" fillId="0" borderId="0" xfId="377" applyNumberFormat="1" applyFont="1" applyFill="1" applyAlignment="1" applyProtection="1">
      <alignment horizontal="left"/>
    </xf>
    <xf numFmtId="4" fontId="40" fillId="0" borderId="0" xfId="377" applyNumberFormat="1" applyFont="1" applyFill="1" applyAlignment="1" applyProtection="1">
      <alignment horizontal="right"/>
    </xf>
    <xf numFmtId="4" fontId="33" fillId="0" borderId="0" xfId="132" applyNumberFormat="1" applyFont="1" applyFill="1" applyBorder="1" applyAlignment="1" applyProtection="1">
      <alignment vertical="center"/>
    </xf>
    <xf numFmtId="3" fontId="42" fillId="0" borderId="0" xfId="0" applyNumberFormat="1" applyFont="1" applyFill="1" applyBorder="1" applyAlignment="1" applyProtection="1">
      <alignment horizontal="center" vertical="center"/>
    </xf>
    <xf numFmtId="4" fontId="42" fillId="0" borderId="0" xfId="0" applyNumberFormat="1" applyFont="1" applyFill="1" applyBorder="1" applyAlignment="1" applyProtection="1">
      <alignment horizontal="center" vertical="center"/>
    </xf>
    <xf numFmtId="4" fontId="42" fillId="0" borderId="0" xfId="0" applyNumberFormat="1" applyFont="1" applyFill="1" applyBorder="1" applyAlignment="1" applyProtection="1">
      <alignment horizontal="center"/>
    </xf>
    <xf numFmtId="0" fontId="40" fillId="0" borderId="0" xfId="0" applyFont="1" applyAlignment="1" applyProtection="1">
      <alignment horizontal="center" vertical="center"/>
    </xf>
    <xf numFmtId="0" fontId="40" fillId="0" borderId="0" xfId="377" applyFont="1" applyFill="1" applyBorder="1" applyAlignment="1" applyProtection="1">
      <alignment horizontal="justify" vertical="center"/>
    </xf>
    <xf numFmtId="0" fontId="40" fillId="0" borderId="0" xfId="377" applyFont="1" applyAlignment="1" applyProtection="1">
      <alignment vertical="center"/>
    </xf>
    <xf numFmtId="4" fontId="40" fillId="0" borderId="0" xfId="377" applyNumberFormat="1" applyFont="1" applyAlignment="1" applyProtection="1">
      <alignment vertical="center"/>
    </xf>
    <xf numFmtId="0" fontId="43" fillId="0" borderId="0" xfId="0" applyFont="1" applyAlignment="1" applyProtection="1">
      <alignment vertical="center"/>
    </xf>
    <xf numFmtId="0" fontId="40" fillId="0" borderId="0" xfId="0" applyFont="1" applyAlignment="1">
      <alignment horizontal="center" vertical="center"/>
    </xf>
    <xf numFmtId="2" fontId="46" fillId="0" borderId="0" xfId="377" applyNumberFormat="1" applyFont="1" applyBorder="1" applyAlignment="1" applyProtection="1">
      <alignment horizontal="left" vertical="center"/>
    </xf>
    <xf numFmtId="0" fontId="40" fillId="0" borderId="0" xfId="0" applyFont="1" applyBorder="1" applyAlignment="1">
      <alignment vertical="center"/>
    </xf>
    <xf numFmtId="0" fontId="33" fillId="0" borderId="0" xfId="377" applyFont="1" applyFill="1" applyBorder="1" applyAlignment="1" applyProtection="1">
      <alignment horizontal="justify" vertical="center"/>
    </xf>
    <xf numFmtId="0" fontId="40" fillId="0" borderId="0" xfId="0" applyFont="1" applyFill="1" applyBorder="1" applyAlignment="1">
      <alignment vertical="center"/>
    </xf>
    <xf numFmtId="0" fontId="33" fillId="0" borderId="0" xfId="377" applyFont="1" applyAlignment="1" applyProtection="1">
      <alignment vertical="center"/>
    </xf>
    <xf numFmtId="49" fontId="40" fillId="0" borderId="0" xfId="377" applyNumberFormat="1" applyFont="1" applyFill="1" applyBorder="1" applyAlignment="1" applyProtection="1">
      <alignment horizontal="left" vertical="center"/>
    </xf>
    <xf numFmtId="4" fontId="40" fillId="0" borderId="0" xfId="377" applyNumberFormat="1" applyFont="1" applyFill="1" applyAlignment="1" applyProtection="1">
      <alignment horizontal="right" vertical="center"/>
    </xf>
    <xf numFmtId="0" fontId="40" fillId="0" borderId="0" xfId="0" applyFont="1" applyFill="1" applyBorder="1" applyAlignment="1">
      <alignment horizontal="left" vertical="center"/>
    </xf>
    <xf numFmtId="4" fontId="40" fillId="0" borderId="0" xfId="377" applyNumberFormat="1" applyFont="1" applyFill="1" applyAlignment="1" applyProtection="1">
      <alignment horizontal="left" vertical="center"/>
    </xf>
    <xf numFmtId="0" fontId="43" fillId="0" borderId="16" xfId="0" applyFont="1" applyFill="1" applyBorder="1" applyAlignment="1" applyProtection="1">
      <alignment horizontal="left" vertical="center"/>
    </xf>
    <xf numFmtId="0" fontId="40" fillId="0" borderId="16" xfId="377" applyFont="1" applyFill="1" applyBorder="1" applyAlignment="1" applyProtection="1">
      <alignment horizontal="justify" vertical="center"/>
    </xf>
    <xf numFmtId="0" fontId="40" fillId="0" borderId="16" xfId="377" applyFont="1" applyBorder="1" applyAlignment="1" applyProtection="1">
      <alignment vertical="center"/>
    </xf>
    <xf numFmtId="4" fontId="40" fillId="0" borderId="16" xfId="377" applyNumberFormat="1" applyFont="1" applyBorder="1" applyAlignment="1" applyProtection="1">
      <alignment vertical="center"/>
    </xf>
    <xf numFmtId="2" fontId="46" fillId="0" borderId="11" xfId="377" applyNumberFormat="1" applyFont="1" applyBorder="1" applyAlignment="1" applyProtection="1">
      <alignment horizontal="left" vertical="center"/>
    </xf>
    <xf numFmtId="0" fontId="33" fillId="0" borderId="11" xfId="377" applyFont="1" applyBorder="1" applyAlignment="1" applyProtection="1">
      <alignment horizontal="justify" vertical="center"/>
    </xf>
    <xf numFmtId="0" fontId="40" fillId="0" borderId="11" xfId="377" applyFont="1" applyBorder="1" applyAlignment="1" applyProtection="1">
      <alignment vertical="center"/>
    </xf>
    <xf numFmtId="4" fontId="40" fillId="0" borderId="11" xfId="377" applyNumberFormat="1" applyFont="1" applyBorder="1" applyAlignment="1" applyProtection="1">
      <alignment vertical="center"/>
    </xf>
    <xf numFmtId="0" fontId="33" fillId="0" borderId="16" xfId="377" applyFont="1" applyBorder="1" applyAlignment="1" applyProtection="1">
      <alignment horizontal="left" vertical="center"/>
    </xf>
    <xf numFmtId="49" fontId="33" fillId="0" borderId="11" xfId="377" applyNumberFormat="1" applyFont="1" applyFill="1" applyBorder="1" applyAlignment="1" applyProtection="1">
      <alignment horizontal="left" vertical="center" wrapText="1"/>
    </xf>
    <xf numFmtId="0" fontId="33" fillId="0" borderId="11" xfId="377" applyFont="1" applyBorder="1" applyAlignment="1" applyProtection="1">
      <alignment vertical="center"/>
    </xf>
    <xf numFmtId="49" fontId="40" fillId="0" borderId="16" xfId="377" applyNumberFormat="1" applyFont="1" applyFill="1" applyBorder="1" applyAlignment="1" applyProtection="1">
      <alignment horizontal="left" vertical="center" wrapText="1"/>
    </xf>
    <xf numFmtId="4" fontId="40" fillId="0" borderId="16" xfId="377" applyNumberFormat="1" applyFont="1" applyFill="1" applyBorder="1" applyAlignment="1" applyProtection="1">
      <alignment horizontal="right" vertical="center"/>
    </xf>
    <xf numFmtId="49" fontId="40" fillId="0" borderId="11" xfId="377" applyNumberFormat="1" applyFont="1" applyFill="1" applyBorder="1" applyAlignment="1" applyProtection="1">
      <alignment horizontal="left" vertical="center"/>
    </xf>
    <xf numFmtId="4" fontId="40" fillId="0" borderId="11" xfId="377" applyNumberFormat="1" applyFont="1" applyFill="1" applyBorder="1" applyAlignment="1" applyProtection="1">
      <alignment horizontal="left" vertical="center"/>
    </xf>
    <xf numFmtId="4" fontId="40" fillId="0" borderId="11" xfId="377" applyNumberFormat="1" applyFont="1" applyFill="1" applyBorder="1" applyAlignment="1" applyProtection="1">
      <alignment horizontal="right" vertical="center"/>
    </xf>
    <xf numFmtId="49" fontId="40" fillId="0" borderId="16" xfId="377" applyNumberFormat="1" applyFont="1" applyFill="1" applyBorder="1" applyAlignment="1" applyProtection="1">
      <alignment horizontal="left" vertical="center"/>
    </xf>
    <xf numFmtId="0" fontId="33" fillId="0" borderId="9" xfId="0" applyFont="1" applyBorder="1" applyAlignment="1" applyProtection="1">
      <alignment horizontal="center" vertical="center"/>
    </xf>
    <xf numFmtId="0" fontId="32" fillId="0" borderId="0" xfId="377" applyFont="1" applyBorder="1" applyAlignment="1">
      <alignment vertical="center"/>
    </xf>
    <xf numFmtId="0" fontId="40" fillId="0" borderId="16" xfId="377" applyFont="1" applyFill="1" applyBorder="1" applyAlignment="1" applyProtection="1">
      <alignment horizontal="left" vertical="center"/>
    </xf>
    <xf numFmtId="0" fontId="40" fillId="0" borderId="0" xfId="377" applyFont="1" applyBorder="1" applyAlignment="1" applyProtection="1">
      <alignment vertical="center"/>
    </xf>
    <xf numFmtId="49" fontId="47" fillId="0" borderId="0" xfId="377" applyNumberFormat="1" applyFont="1" applyFill="1" applyBorder="1" applyAlignment="1" applyProtection="1">
      <alignment vertical="top"/>
    </xf>
    <xf numFmtId="2" fontId="40" fillId="0" borderId="0" xfId="377" applyNumberFormat="1" applyFont="1" applyFill="1" applyBorder="1" applyAlignment="1" applyProtection="1">
      <alignment horizontal="left" vertical="top" wrapText="1"/>
    </xf>
    <xf numFmtId="2" fontId="46" fillId="0" borderId="15" xfId="377" applyNumberFormat="1" applyFont="1" applyFill="1" applyBorder="1" applyAlignment="1" applyProtection="1">
      <alignment vertical="center"/>
    </xf>
    <xf numFmtId="0" fontId="43" fillId="0" borderId="15" xfId="0" applyFont="1" applyFill="1" applyBorder="1" applyAlignment="1" applyProtection="1">
      <alignment horizontal="right" vertical="center"/>
    </xf>
    <xf numFmtId="4" fontId="43" fillId="0" borderId="15" xfId="0" applyNumberFormat="1" applyFont="1" applyFill="1" applyBorder="1" applyAlignment="1" applyProtection="1">
      <alignment horizontal="right" vertical="center"/>
    </xf>
    <xf numFmtId="4" fontId="46" fillId="0" borderId="15" xfId="0" applyNumberFormat="1" applyFont="1" applyFill="1" applyBorder="1" applyAlignment="1" applyProtection="1">
      <alignment horizontal="right" vertical="center"/>
      <protection locked="0"/>
    </xf>
    <xf numFmtId="4" fontId="46" fillId="0" borderId="15" xfId="0" applyNumberFormat="1" applyFont="1" applyFill="1" applyBorder="1" applyAlignment="1" applyProtection="1">
      <alignment horizontal="right" vertical="center"/>
    </xf>
    <xf numFmtId="2" fontId="33" fillId="0" borderId="11" xfId="377" applyNumberFormat="1" applyFont="1" applyBorder="1" applyAlignment="1" applyProtection="1">
      <alignment vertical="top"/>
    </xf>
    <xf numFmtId="2" fontId="33" fillId="0" borderId="16" xfId="377" applyNumberFormat="1" applyFont="1" applyBorder="1" applyAlignment="1" applyProtection="1">
      <alignment vertical="top"/>
    </xf>
    <xf numFmtId="0" fontId="40" fillId="0" borderId="16" xfId="377" applyFont="1" applyFill="1" applyBorder="1" applyAlignment="1" applyProtection="1">
      <alignment horizontal="right" vertical="center" wrapText="1"/>
    </xf>
    <xf numFmtId="4" fontId="40" fillId="0" borderId="16" xfId="377" applyNumberFormat="1" applyFont="1" applyFill="1" applyBorder="1" applyAlignment="1" applyProtection="1">
      <alignment horizontal="right" vertical="center" wrapText="1"/>
    </xf>
    <xf numFmtId="4" fontId="40" fillId="0" borderId="16" xfId="0" applyNumberFormat="1" applyFont="1" applyFill="1" applyBorder="1" applyAlignment="1" applyProtection="1">
      <alignment horizontal="right"/>
    </xf>
    <xf numFmtId="2" fontId="40" fillId="0" borderId="0" xfId="0" applyNumberFormat="1" applyFont="1" applyAlignment="1">
      <alignment horizontal="center" vertical="center"/>
    </xf>
    <xf numFmtId="0" fontId="33" fillId="0" borderId="16" xfId="377" applyFont="1" applyBorder="1" applyAlignment="1" applyProtection="1">
      <alignment horizontal="right" vertical="top"/>
    </xf>
    <xf numFmtId="2" fontId="40" fillId="0" borderId="0" xfId="0" applyNumberFormat="1" applyFont="1" applyAlignment="1">
      <alignment horizontal="center" vertical="top"/>
    </xf>
    <xf numFmtId="2" fontId="46" fillId="0" borderId="15" xfId="377" applyNumberFormat="1" applyFont="1" applyFill="1" applyBorder="1" applyAlignment="1" applyProtection="1">
      <alignment horizontal="center" vertical="center"/>
    </xf>
    <xf numFmtId="49" fontId="33" fillId="0" borderId="0" xfId="377" applyNumberFormat="1" applyFont="1" applyFill="1" applyBorder="1" applyAlignment="1" applyProtection="1">
      <alignment horizontal="right" vertical="center" wrapText="1"/>
    </xf>
    <xf numFmtId="49" fontId="40" fillId="0" borderId="0" xfId="377" applyNumberFormat="1" applyFont="1" applyFill="1" applyBorder="1" applyAlignment="1" applyProtection="1">
      <alignment horizontal="right" vertical="top"/>
    </xf>
    <xf numFmtId="49" fontId="40" fillId="0" borderId="0" xfId="377" applyNumberFormat="1" applyFont="1" applyFill="1" applyBorder="1" applyAlignment="1" applyProtection="1">
      <alignment horizontal="right" vertical="top" wrapText="1"/>
    </xf>
    <xf numFmtId="0" fontId="33" fillId="0" borderId="11" xfId="377" applyFont="1" applyBorder="1" applyAlignment="1" applyProtection="1">
      <alignment horizontal="right" vertical="top"/>
    </xf>
    <xf numFmtId="0" fontId="33" fillId="0" borderId="0" xfId="377" applyFont="1" applyAlignment="1" applyProtection="1">
      <alignment horizontal="right" vertical="top"/>
    </xf>
    <xf numFmtId="49" fontId="40" fillId="0" borderId="0" xfId="377" applyNumberFormat="1" applyFont="1" applyFill="1" applyBorder="1" applyAlignment="1" applyProtection="1">
      <alignment horizontal="right" vertical="center" wrapText="1"/>
    </xf>
    <xf numFmtId="0" fontId="40" fillId="0" borderId="16" xfId="0" applyFont="1" applyBorder="1" applyAlignment="1" applyProtection="1">
      <alignment horizontal="right" vertical="center"/>
    </xf>
    <xf numFmtId="0" fontId="46" fillId="0" borderId="15" xfId="0" applyFont="1" applyFill="1" applyBorder="1" applyAlignment="1" applyProtection="1">
      <alignment horizontal="right" vertical="center"/>
    </xf>
    <xf numFmtId="49" fontId="40" fillId="0" borderId="16" xfId="0" applyNumberFormat="1" applyFont="1" applyBorder="1" applyAlignment="1" applyProtection="1">
      <alignment horizontal="left" vertical="top"/>
    </xf>
    <xf numFmtId="49" fontId="40" fillId="0" borderId="16" xfId="0" applyNumberFormat="1" applyFont="1" applyBorder="1" applyAlignment="1" applyProtection="1">
      <alignment vertical="top" wrapText="1"/>
    </xf>
    <xf numFmtId="0" fontId="40" fillId="0" borderId="17" xfId="377" applyFont="1" applyBorder="1" applyAlignment="1" applyProtection="1">
      <alignment horizontal="left" vertical="center"/>
    </xf>
    <xf numFmtId="4" fontId="40" fillId="0" borderId="17" xfId="0" applyNumberFormat="1" applyFont="1" applyFill="1" applyBorder="1" applyAlignment="1" applyProtection="1">
      <alignment horizontal="right" vertical="center"/>
    </xf>
    <xf numFmtId="0" fontId="40" fillId="0" borderId="0" xfId="0" applyFont="1" applyBorder="1" applyAlignment="1" applyProtection="1">
      <alignment vertical="center"/>
      <protection locked="0"/>
    </xf>
    <xf numFmtId="0" fontId="40" fillId="0" borderId="0" xfId="377" applyFont="1" applyBorder="1" applyAlignment="1" applyProtection="1">
      <alignment horizontal="left" vertical="center"/>
    </xf>
    <xf numFmtId="0" fontId="46" fillId="0" borderId="0" xfId="377" applyFont="1" applyBorder="1" applyAlignment="1" applyProtection="1">
      <alignment vertical="center"/>
    </xf>
    <xf numFmtId="4" fontId="40" fillId="0" borderId="0" xfId="0" applyNumberFormat="1" applyFont="1" applyBorder="1" applyAlignment="1" applyProtection="1">
      <alignment horizontal="right" vertical="center"/>
      <protection locked="0"/>
    </xf>
    <xf numFmtId="4" fontId="40" fillId="0" borderId="0" xfId="0" applyNumberFormat="1" applyFont="1" applyFill="1" applyBorder="1" applyAlignment="1" applyProtection="1">
      <alignment horizontal="right" vertical="center"/>
    </xf>
    <xf numFmtId="4" fontId="33" fillId="0" borderId="0" xfId="0" applyNumberFormat="1" applyFont="1" applyFill="1" applyBorder="1" applyAlignment="1" applyProtection="1">
      <alignment horizontal="right" vertical="center"/>
    </xf>
    <xf numFmtId="2" fontId="33" fillId="0" borderId="0" xfId="377" applyNumberFormat="1" applyFont="1" applyBorder="1" applyAlignment="1" applyProtection="1">
      <alignment vertical="center"/>
    </xf>
    <xf numFmtId="0" fontId="48" fillId="0" borderId="17" xfId="377" applyFont="1" applyBorder="1" applyAlignment="1" applyProtection="1">
      <alignment vertical="center"/>
    </xf>
    <xf numFmtId="4" fontId="34" fillId="0" borderId="15" xfId="0" applyNumberFormat="1" applyFont="1" applyFill="1" applyBorder="1" applyAlignment="1" applyProtection="1">
      <alignment horizontal="right" vertical="center"/>
    </xf>
    <xf numFmtId="0" fontId="40" fillId="0" borderId="0" xfId="0" applyFont="1" applyBorder="1" applyAlignment="1">
      <alignment horizontal="center" vertical="top"/>
    </xf>
    <xf numFmtId="0" fontId="33" fillId="0" borderId="18" xfId="377" applyFont="1" applyBorder="1" applyAlignment="1" applyProtection="1">
      <alignment horizontal="left" vertical="top"/>
    </xf>
    <xf numFmtId="0" fontId="40" fillId="0" borderId="0" xfId="377" applyFont="1" applyBorder="1" applyAlignment="1" applyProtection="1">
      <alignment horizontal="justify"/>
    </xf>
    <xf numFmtId="4" fontId="40" fillId="0" borderId="16" xfId="0" applyNumberFormat="1" applyFont="1" applyBorder="1" applyAlignment="1" applyProtection="1">
      <alignment horizontal="right" vertical="center"/>
      <protection locked="0"/>
    </xf>
    <xf numFmtId="4" fontId="33" fillId="0" borderId="11" xfId="0" applyNumberFormat="1" applyFont="1" applyFill="1" applyBorder="1" applyAlignment="1" applyProtection="1">
      <alignment horizontal="right" vertical="center"/>
    </xf>
    <xf numFmtId="4" fontId="40" fillId="0" borderId="16" xfId="0" applyNumberFormat="1" applyFont="1" applyFill="1" applyBorder="1" applyAlignment="1" applyProtection="1">
      <alignment horizontal="right" vertical="center"/>
    </xf>
    <xf numFmtId="0" fontId="33" fillId="0" borderId="0" xfId="377" applyFont="1" applyBorder="1" applyAlignment="1" applyProtection="1">
      <alignment horizontal="right" vertical="top"/>
    </xf>
    <xf numFmtId="2" fontId="33" fillId="0" borderId="0" xfId="377" applyNumberFormat="1" applyFont="1" applyBorder="1" applyAlignment="1" applyProtection="1">
      <alignment vertical="top"/>
    </xf>
    <xf numFmtId="0" fontId="38" fillId="0" borderId="0" xfId="0" applyFont="1" applyBorder="1" applyAlignment="1" applyProtection="1">
      <alignment horizontal="left" vertical="top" wrapText="1"/>
    </xf>
    <xf numFmtId="0" fontId="38" fillId="0" borderId="0" xfId="0" applyFont="1" applyBorder="1" applyAlignment="1" applyProtection="1">
      <alignment horizontal="left" vertical="top"/>
    </xf>
    <xf numFmtId="4" fontId="3" fillId="0" borderId="0" xfId="0" applyNumberFormat="1" applyFont="1" applyFill="1" applyBorder="1" applyAlignment="1" applyProtection="1">
      <alignment horizontal="right"/>
    </xf>
    <xf numFmtId="0" fontId="40" fillId="0" borderId="0" xfId="0" quotePrefix="1" applyFont="1" applyFill="1" applyBorder="1" applyProtection="1">
      <protection locked="0"/>
    </xf>
    <xf numFmtId="4" fontId="3" fillId="0" borderId="0" xfId="386" applyNumberFormat="1" applyFont="1" applyFill="1" applyBorder="1" applyAlignment="1" applyProtection="1">
      <alignment horizontal="right"/>
      <protection locked="0"/>
    </xf>
    <xf numFmtId="2" fontId="40" fillId="0" borderId="0" xfId="377" applyNumberFormat="1" applyFont="1" applyFill="1" applyBorder="1" applyAlignment="1" applyProtection="1">
      <alignment vertical="top" wrapText="1"/>
    </xf>
    <xf numFmtId="0" fontId="33" fillId="0" borderId="0" xfId="377" applyFont="1" applyFill="1" applyAlignment="1" applyProtection="1">
      <alignment horizontal="right" vertical="top"/>
    </xf>
    <xf numFmtId="2" fontId="40" fillId="0" borderId="0" xfId="377" applyNumberFormat="1" applyFont="1" applyFill="1" applyAlignment="1" applyProtection="1">
      <alignment vertical="top"/>
    </xf>
    <xf numFmtId="0" fontId="40" fillId="0" borderId="0" xfId="0" applyFont="1" applyFill="1" applyBorder="1" applyAlignment="1" applyProtection="1">
      <alignment horizontal="right" vertical="center"/>
    </xf>
    <xf numFmtId="2" fontId="33" fillId="0" borderId="0" xfId="377" applyNumberFormat="1" applyFont="1" applyFill="1" applyAlignment="1" applyProtection="1">
      <alignment vertical="top"/>
    </xf>
    <xf numFmtId="0" fontId="40" fillId="0" borderId="0" xfId="0" applyFont="1" applyFill="1" applyAlignment="1">
      <alignment wrapText="1"/>
    </xf>
    <xf numFmtId="0" fontId="33" fillId="0" borderId="0" xfId="377" applyFont="1" applyBorder="1" applyAlignment="1" applyProtection="1">
      <alignment horizontal="left" vertical="center"/>
    </xf>
    <xf numFmtId="0" fontId="52" fillId="0" borderId="0" xfId="0" applyFont="1" applyFill="1" applyAlignment="1">
      <alignment horizontal="center" vertical="top" wrapText="1"/>
    </xf>
    <xf numFmtId="0" fontId="0" fillId="0" borderId="0" xfId="0" applyAlignment="1">
      <alignment horizontal="center"/>
    </xf>
    <xf numFmtId="0" fontId="53" fillId="0" borderId="0" xfId="0" applyFont="1" applyBorder="1" applyAlignment="1" applyProtection="1">
      <alignment horizontal="left" vertical="top" wrapText="1"/>
    </xf>
    <xf numFmtId="0" fontId="40" fillId="0" borderId="0" xfId="0" applyFont="1" applyFill="1" applyAlignment="1">
      <alignment horizontal="justify" wrapText="1"/>
    </xf>
    <xf numFmtId="16" fontId="40" fillId="0" borderId="0" xfId="0" applyNumberFormat="1" applyFont="1" applyFill="1" applyAlignment="1">
      <alignment horizontal="center" vertical="top" wrapText="1"/>
    </xf>
    <xf numFmtId="0" fontId="40" fillId="0" borderId="0" xfId="0" applyFont="1" applyFill="1" applyAlignment="1">
      <alignment horizontal="justify" vertical="top" wrapText="1"/>
    </xf>
    <xf numFmtId="0" fontId="40" fillId="0" borderId="0" xfId="0" applyFont="1" applyFill="1" applyAlignment="1">
      <alignment horizontal="right"/>
    </xf>
    <xf numFmtId="4" fontId="40" fillId="0" borderId="0" xfId="0" applyNumberFormat="1" applyFont="1" applyFill="1" applyAlignment="1">
      <alignment horizontal="right"/>
    </xf>
    <xf numFmtId="4" fontId="3" fillId="0" borderId="0" xfId="377" applyNumberFormat="1" applyFont="1" applyFill="1" applyBorder="1" applyAlignment="1" applyProtection="1">
      <alignment horizontal="center"/>
    </xf>
    <xf numFmtId="4" fontId="3" fillId="0" borderId="0" xfId="377" applyNumberFormat="1" applyFont="1" applyAlignment="1" applyProtection="1"/>
    <xf numFmtId="0" fontId="51" fillId="0" borderId="0" xfId="377" applyFont="1" applyAlignment="1" applyProtection="1">
      <alignment horizontal="left" vertical="top"/>
    </xf>
    <xf numFmtId="0" fontId="40" fillId="0" borderId="0" xfId="398" applyFont="1" applyFill="1" applyAlignment="1" applyProtection="1">
      <alignment horizontal="justify" vertical="top" wrapText="1"/>
    </xf>
    <xf numFmtId="0" fontId="0" fillId="0" borderId="0" xfId="0" applyFill="1" applyAlignment="1">
      <alignment wrapText="1"/>
    </xf>
    <xf numFmtId="0" fontId="4" fillId="0" borderId="0" xfId="0" applyFont="1" applyFill="1" applyAlignment="1">
      <alignment horizontal="right"/>
    </xf>
    <xf numFmtId="0" fontId="40" fillId="0" borderId="0" xfId="377" applyFont="1" applyFill="1" applyAlignment="1" applyProtection="1">
      <alignment horizontal="center"/>
    </xf>
    <xf numFmtId="2" fontId="33" fillId="0" borderId="11" xfId="377" applyNumberFormat="1" applyFont="1" applyFill="1" applyBorder="1" applyAlignment="1" applyProtection="1">
      <alignment vertical="top"/>
    </xf>
    <xf numFmtId="49" fontId="40" fillId="0" borderId="0" xfId="0" applyNumberFormat="1" applyFont="1" applyFill="1" applyAlignment="1" applyProtection="1">
      <alignment vertical="top" wrapText="1"/>
    </xf>
    <xf numFmtId="2" fontId="33" fillId="0" borderId="16" xfId="377" applyNumberFormat="1" applyFont="1" applyFill="1" applyBorder="1" applyAlignment="1" applyProtection="1">
      <alignment vertical="top"/>
    </xf>
    <xf numFmtId="0" fontId="40" fillId="0" borderId="0" xfId="0" applyFont="1" applyFill="1" applyAlignment="1">
      <alignment vertical="top" wrapText="1"/>
    </xf>
    <xf numFmtId="0" fontId="40" fillId="0" borderId="0" xfId="0" applyFont="1" applyFill="1" applyAlignment="1">
      <alignment vertical="top"/>
    </xf>
    <xf numFmtId="0" fontId="33" fillId="0" borderId="11" xfId="377" applyFont="1" applyFill="1" applyBorder="1" applyAlignment="1" applyProtection="1">
      <alignment horizontal="right" vertical="top"/>
    </xf>
    <xf numFmtId="0" fontId="33" fillId="0" borderId="16" xfId="377" applyFont="1" applyFill="1" applyBorder="1" applyAlignment="1" applyProtection="1">
      <alignment horizontal="right" vertical="top"/>
    </xf>
    <xf numFmtId="0" fontId="40" fillId="0" borderId="0" xfId="377" applyFont="1" applyFill="1" applyAlignment="1" applyProtection="1">
      <alignment horizontal="right" vertical="top"/>
    </xf>
    <xf numFmtId="0" fontId="40" fillId="0" borderId="0" xfId="0" applyFont="1" applyFill="1" applyAlignment="1">
      <alignment horizontal="center"/>
    </xf>
    <xf numFmtId="4" fontId="40" fillId="0" borderId="0" xfId="0" applyNumberFormat="1" applyFont="1" applyFill="1"/>
    <xf numFmtId="0" fontId="40" fillId="0" borderId="0" xfId="0" applyFont="1" applyFill="1" applyAlignment="1">
      <alignment horizontal="center" wrapText="1"/>
    </xf>
    <xf numFmtId="4" fontId="40" fillId="0" borderId="0" xfId="0" applyNumberFormat="1" applyFont="1" applyFill="1" applyBorder="1"/>
    <xf numFmtId="0" fontId="40" fillId="0" borderId="0" xfId="0" applyFont="1" applyFill="1" applyAlignment="1">
      <alignment horizontal="left" wrapText="1"/>
    </xf>
    <xf numFmtId="0" fontId="40" fillId="0" borderId="0" xfId="0" applyFont="1" applyFill="1" applyAlignment="1">
      <alignment horizontal="right" vertical="top" wrapText="1"/>
    </xf>
    <xf numFmtId="0" fontId="40" fillId="0" borderId="0" xfId="0" applyFont="1" applyFill="1" applyAlignment="1">
      <alignment horizontal="left" vertical="top" wrapText="1"/>
    </xf>
    <xf numFmtId="0" fontId="40" fillId="0" borderId="0" xfId="0" applyFont="1" applyFill="1" applyAlignment="1">
      <alignment horizontal="justify" vertical="top"/>
    </xf>
    <xf numFmtId="0" fontId="40" fillId="0" borderId="0" xfId="377" applyFont="1" applyFill="1" applyAlignment="1" applyProtection="1">
      <alignment vertical="top"/>
    </xf>
    <xf numFmtId="16" fontId="40" fillId="0" borderId="0" xfId="0" applyNumberFormat="1" applyFont="1" applyFill="1" applyAlignment="1">
      <alignment horizontal="center" vertical="top"/>
    </xf>
    <xf numFmtId="0" fontId="40" fillId="0" borderId="0" xfId="0" applyFont="1" applyFill="1" applyAlignment="1">
      <alignment horizontal="center" vertical="top"/>
    </xf>
    <xf numFmtId="0" fontId="40" fillId="0" borderId="0" xfId="399" applyFont="1" applyFill="1" applyAlignment="1">
      <alignment horizontal="center" vertical="top"/>
    </xf>
    <xf numFmtId="0" fontId="40" fillId="0" borderId="0" xfId="0" applyNumberFormat="1" applyFont="1" applyFill="1" applyAlignment="1">
      <alignment horizontal="justify" vertical="top" wrapText="1"/>
    </xf>
    <xf numFmtId="4" fontId="40" fillId="0" borderId="0" xfId="0" applyNumberFormat="1" applyFont="1" applyFill="1" applyBorder="1" applyAlignment="1">
      <alignment horizontal="right"/>
    </xf>
    <xf numFmtId="49" fontId="40" fillId="0" borderId="0" xfId="0" applyNumberFormat="1" applyFont="1" applyFill="1" applyAlignment="1">
      <alignment horizontal="center" vertical="top"/>
    </xf>
    <xf numFmtId="0" fontId="40" fillId="0" borderId="0" xfId="0" quotePrefix="1" applyNumberFormat="1" applyFont="1" applyFill="1" applyAlignment="1">
      <alignment horizontal="justify" vertical="top" wrapText="1"/>
    </xf>
    <xf numFmtId="0" fontId="42" fillId="0" borderId="0" xfId="0" applyFont="1" applyFill="1" applyAlignment="1">
      <alignment horizontal="justify"/>
    </xf>
    <xf numFmtId="0" fontId="42" fillId="0" borderId="0" xfId="0" applyFont="1" applyFill="1" applyAlignment="1">
      <alignment horizontal="justify" vertical="top"/>
    </xf>
    <xf numFmtId="2" fontId="33" fillId="0" borderId="0" xfId="377" applyNumberFormat="1" applyFont="1" applyBorder="1" applyAlignment="1" applyProtection="1">
      <alignment horizontal="left" vertical="center"/>
    </xf>
    <xf numFmtId="2" fontId="40" fillId="0" borderId="0" xfId="0" applyNumberFormat="1" applyFont="1" applyFill="1" applyAlignment="1">
      <alignment horizontal="center"/>
    </xf>
    <xf numFmtId="4" fontId="40" fillId="0" borderId="0" xfId="0" applyNumberFormat="1" applyFont="1" applyFill="1" applyAlignment="1">
      <alignment wrapText="1"/>
    </xf>
    <xf numFmtId="0" fontId="40" fillId="0" borderId="0" xfId="0" applyNumberFormat="1" applyFont="1" applyAlignment="1">
      <alignment horizontal="left" vertical="top" wrapText="1"/>
    </xf>
    <xf numFmtId="0" fontId="40" fillId="0" borderId="0" xfId="0" applyFont="1" applyFill="1" applyAlignment="1">
      <alignment horizontal="justify" wrapText="1"/>
    </xf>
    <xf numFmtId="0" fontId="40" fillId="0" borderId="0" xfId="0" applyFont="1" applyFill="1" applyAlignment="1">
      <alignment horizontal="justify" vertical="top" wrapText="1"/>
    </xf>
    <xf numFmtId="0" fontId="40" fillId="0" borderId="0" xfId="0" applyNumberFormat="1" applyFont="1" applyAlignment="1">
      <alignment horizontal="left" vertical="top" wrapText="1"/>
    </xf>
    <xf numFmtId="2" fontId="3" fillId="0" borderId="0" xfId="377" applyNumberFormat="1" applyFont="1" applyBorder="1" applyAlignment="1" applyProtection="1">
      <alignment vertical="top" wrapText="1"/>
    </xf>
    <xf numFmtId="0" fontId="50" fillId="0" borderId="0" xfId="0" applyFont="1" applyBorder="1"/>
    <xf numFmtId="0" fontId="33" fillId="0" borderId="0" xfId="377" applyFont="1" applyBorder="1" applyAlignment="1" applyProtection="1">
      <alignment horizontal="left" vertical="center"/>
    </xf>
    <xf numFmtId="2" fontId="40" fillId="0" borderId="0" xfId="377" applyNumberFormat="1" applyFont="1" applyBorder="1" applyAlignment="1" applyProtection="1">
      <alignment horizontal="justify" vertical="top" wrapText="1"/>
    </xf>
    <xf numFmtId="49" fontId="40" fillId="0" borderId="0" xfId="377" applyNumberFormat="1" applyFont="1" applyAlignment="1" applyProtection="1">
      <alignment horizontal="left" vertical="top"/>
    </xf>
    <xf numFmtId="0" fontId="40" fillId="0" borderId="0" xfId="377" applyFont="1" applyAlignment="1" applyProtection="1">
      <alignment horizontal="center" vertical="center"/>
    </xf>
    <xf numFmtId="4" fontId="40" fillId="0" borderId="0" xfId="377" applyNumberFormat="1" applyFont="1" applyAlignment="1" applyProtection="1">
      <alignment horizontal="center" vertical="center"/>
    </xf>
    <xf numFmtId="4" fontId="40" fillId="0" borderId="0" xfId="377" applyNumberFormat="1" applyFont="1" applyFill="1" applyBorder="1" applyAlignment="1" applyProtection="1">
      <alignment horizontal="center" wrapText="1"/>
      <protection locked="0"/>
    </xf>
    <xf numFmtId="0" fontId="40" fillId="0" borderId="0" xfId="377" quotePrefix="1" applyNumberFormat="1" applyFont="1" applyAlignment="1" applyProtection="1">
      <alignment vertical="top" wrapText="1"/>
    </xf>
    <xf numFmtId="4" fontId="40" fillId="0" borderId="0" xfId="0" applyNumberFormat="1" applyFont="1" applyFill="1" applyBorder="1" applyAlignment="1" applyProtection="1">
      <alignment horizontal="left" vertical="top"/>
      <protection locked="0"/>
    </xf>
    <xf numFmtId="0" fontId="40" fillId="0" borderId="0" xfId="377" applyNumberFormat="1" applyFont="1" applyAlignment="1" applyProtection="1">
      <alignment vertical="top" wrapText="1" shrinkToFit="1"/>
    </xf>
    <xf numFmtId="0" fontId="40" fillId="0" borderId="0" xfId="0" applyFont="1" applyFill="1" applyAlignment="1">
      <alignment horizontal="justify" vertical="top" wrapText="1"/>
    </xf>
    <xf numFmtId="0" fontId="40" fillId="0" borderId="0" xfId="0" applyFont="1" applyFill="1" applyAlignment="1">
      <alignment horizontal="left" wrapText="1"/>
    </xf>
    <xf numFmtId="3" fontId="49" fillId="0" borderId="0" xfId="0" applyNumberFormat="1" applyFont="1" applyAlignment="1">
      <alignment horizontal="right"/>
    </xf>
    <xf numFmtId="49" fontId="49" fillId="0" borderId="0" xfId="0" applyNumberFormat="1" applyFont="1" applyAlignment="1">
      <alignment vertical="top"/>
    </xf>
    <xf numFmtId="0" fontId="3" fillId="0" borderId="0" xfId="0" applyFont="1" applyAlignment="1"/>
    <xf numFmtId="3" fontId="3" fillId="0" borderId="0" xfId="0" applyNumberFormat="1" applyFont="1" applyAlignment="1">
      <alignment horizontal="right"/>
    </xf>
    <xf numFmtId="0" fontId="40" fillId="0" borderId="0" xfId="0" applyFont="1" applyFill="1" applyAlignment="1">
      <alignment horizontal="justify" vertical="top" wrapText="1"/>
    </xf>
    <xf numFmtId="2" fontId="40" fillId="0" borderId="0" xfId="377" applyNumberFormat="1" applyFont="1" applyFill="1" applyBorder="1" applyAlignment="1" applyProtection="1">
      <alignment horizontal="justify" vertical="top" wrapText="1"/>
    </xf>
    <xf numFmtId="2" fontId="40" fillId="0" borderId="0" xfId="377" quotePrefix="1" applyNumberFormat="1" applyFont="1" applyFill="1" applyBorder="1" applyAlignment="1" applyProtection="1">
      <alignment vertical="top" wrapText="1"/>
    </xf>
    <xf numFmtId="0" fontId="40" fillId="0" borderId="0" xfId="0" applyFont="1" applyFill="1" applyAlignment="1">
      <alignment horizontal="justify" vertical="top" wrapText="1"/>
    </xf>
    <xf numFmtId="0" fontId="40" fillId="0" borderId="0" xfId="0" applyFont="1" applyFill="1" applyAlignment="1">
      <alignment horizontal="left" wrapText="1"/>
    </xf>
    <xf numFmtId="0" fontId="40" fillId="0" borderId="0" xfId="0" applyFont="1" applyFill="1" applyAlignment="1">
      <alignment horizontal="justify" vertical="top" wrapText="1"/>
    </xf>
    <xf numFmtId="0" fontId="32" fillId="0" borderId="0" xfId="377" applyFont="1" applyBorder="1" applyAlignment="1">
      <alignment horizontal="right" vertical="top"/>
    </xf>
    <xf numFmtId="0" fontId="33" fillId="0" borderId="0" xfId="377" applyFont="1" applyFill="1" applyBorder="1" applyAlignment="1">
      <alignment horizontal="right" vertical="center"/>
    </xf>
    <xf numFmtId="49" fontId="33" fillId="0" borderId="0" xfId="377" applyNumberFormat="1" applyFont="1" applyFill="1" applyBorder="1" applyAlignment="1">
      <alignment horizontal="right" vertical="center"/>
    </xf>
    <xf numFmtId="0" fontId="33" fillId="0" borderId="11" xfId="377" applyFont="1" applyFill="1" applyBorder="1" applyAlignment="1" applyProtection="1">
      <alignment horizontal="justify" vertical="center"/>
    </xf>
    <xf numFmtId="0" fontId="32" fillId="0" borderId="0" xfId="377" applyFont="1" applyFill="1" applyBorder="1" applyAlignment="1">
      <alignment horizontal="right" vertical="top"/>
    </xf>
    <xf numFmtId="0" fontId="32" fillId="0" borderId="0" xfId="377" applyFont="1" applyFill="1" applyBorder="1" applyAlignment="1">
      <alignment horizontal="right" vertical="top" indent="1"/>
    </xf>
    <xf numFmtId="49" fontId="33" fillId="0" borderId="0" xfId="377" applyNumberFormat="1" applyFont="1" applyFill="1" applyBorder="1" applyAlignment="1">
      <alignment horizontal="right" vertical="top" indent="1"/>
    </xf>
    <xf numFmtId="0" fontId="40" fillId="0" borderId="0" xfId="0" applyNumberFormat="1" applyFont="1" applyAlignment="1">
      <alignment horizontal="justify" vertical="top" wrapText="1"/>
    </xf>
    <xf numFmtId="4" fontId="54" fillId="0" borderId="0" xfId="132" applyNumberFormat="1" applyFont="1" applyFill="1" applyBorder="1" applyAlignment="1" applyProtection="1">
      <alignment vertical="center"/>
    </xf>
    <xf numFmtId="3" fontId="55" fillId="0" borderId="0" xfId="0" applyNumberFormat="1" applyFont="1" applyFill="1" applyBorder="1" applyAlignment="1" applyProtection="1">
      <alignment horizontal="center" vertical="center"/>
    </xf>
    <xf numFmtId="4" fontId="55" fillId="0" borderId="0" xfId="0" applyNumberFormat="1" applyFont="1" applyFill="1" applyBorder="1" applyAlignment="1" applyProtection="1">
      <alignment horizontal="center" vertical="center"/>
    </xf>
    <xf numFmtId="4" fontId="55" fillId="0" borderId="0" xfId="0" applyNumberFormat="1" applyFont="1" applyFill="1" applyBorder="1" applyAlignment="1" applyProtection="1">
      <alignment horizontal="center"/>
    </xf>
    <xf numFmtId="0" fontId="40" fillId="0" borderId="0" xfId="377" applyFont="1" applyBorder="1" applyAlignment="1">
      <alignment horizontal="left" vertical="top"/>
    </xf>
    <xf numFmtId="0" fontId="33" fillId="0" borderId="0" xfId="377" applyFont="1" applyBorder="1" applyAlignment="1">
      <alignment vertical="top" wrapText="1"/>
    </xf>
    <xf numFmtId="0" fontId="33" fillId="0" borderId="0" xfId="377" applyFont="1" applyBorder="1" applyAlignment="1">
      <alignment vertical="top"/>
    </xf>
    <xf numFmtId="49" fontId="40" fillId="0" borderId="0" xfId="0" applyNumberFormat="1" applyFont="1" applyFill="1" applyAlignment="1">
      <alignment horizontal="justify" vertical="top" wrapText="1"/>
    </xf>
    <xf numFmtId="0" fontId="0" fillId="0" borderId="0" xfId="0" applyFill="1"/>
    <xf numFmtId="0" fontId="77" fillId="28" borderId="0" xfId="0" applyFont="1" applyFill="1" applyBorder="1" applyAlignment="1">
      <alignment horizontal="center" vertical="center" wrapText="1"/>
    </xf>
    <xf numFmtId="0" fontId="0" fillId="28" borderId="0" xfId="0" applyFill="1"/>
    <xf numFmtId="0" fontId="77" fillId="27" borderId="0" xfId="0" applyFont="1" applyFill="1" applyBorder="1" applyAlignment="1">
      <alignment horizontal="center" vertical="center" wrapText="1"/>
    </xf>
    <xf numFmtId="0" fontId="0" fillId="27" borderId="0" xfId="0" applyFill="1"/>
    <xf numFmtId="0" fontId="77" fillId="28" borderId="11" xfId="0" applyFont="1" applyFill="1" applyBorder="1" applyAlignment="1">
      <alignment horizontal="center" vertical="center" wrapText="1"/>
    </xf>
    <xf numFmtId="0" fontId="77" fillId="27" borderId="11" xfId="0" applyFont="1" applyFill="1" applyBorder="1" applyAlignment="1">
      <alignment horizontal="center" vertical="center" wrapText="1"/>
    </xf>
    <xf numFmtId="0" fontId="77" fillId="30" borderId="0" xfId="0" applyFont="1" applyFill="1" applyBorder="1" applyAlignment="1">
      <alignment horizontal="center" vertical="center" wrapText="1"/>
    </xf>
    <xf numFmtId="0" fontId="77" fillId="29" borderId="0" xfId="0" applyFont="1" applyFill="1" applyBorder="1" applyAlignment="1">
      <alignment horizontal="center" vertical="center" wrapText="1"/>
    </xf>
    <xf numFmtId="0" fontId="77" fillId="31" borderId="0" xfId="0" applyFont="1" applyFill="1" applyBorder="1" applyAlignment="1">
      <alignment horizontal="center" vertical="center" wrapText="1"/>
    </xf>
    <xf numFmtId="0" fontId="77" fillId="0" borderId="0" xfId="0" applyFont="1" applyAlignment="1">
      <alignment horizontal="center" vertical="center" wrapText="1"/>
    </xf>
    <xf numFmtId="0" fontId="77" fillId="0" borderId="15"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8" fillId="25" borderId="0" xfId="0" applyFont="1" applyFill="1"/>
    <xf numFmtId="0" fontId="78" fillId="25" borderId="0" xfId="0" applyFont="1" applyFill="1" applyAlignment="1">
      <alignment horizontal="center"/>
    </xf>
    <xf numFmtId="0" fontId="78" fillId="0" borderId="0" xfId="0" applyFont="1"/>
    <xf numFmtId="0" fontId="78" fillId="0" borderId="18" xfId="0" applyFont="1" applyBorder="1"/>
    <xf numFmtId="0" fontId="78" fillId="0" borderId="0" xfId="0" applyFont="1" applyBorder="1"/>
    <xf numFmtId="4" fontId="78" fillId="0" borderId="18" xfId="0" applyNumberFormat="1" applyFont="1" applyBorder="1"/>
    <xf numFmtId="4" fontId="78" fillId="0" borderId="0" xfId="0" applyNumberFormat="1" applyFont="1" applyBorder="1"/>
    <xf numFmtId="4" fontId="78" fillId="0" borderId="0" xfId="0" applyNumberFormat="1" applyFont="1"/>
    <xf numFmtId="4" fontId="78" fillId="0" borderId="21" xfId="0" applyNumberFormat="1" applyFont="1" applyBorder="1" applyAlignment="1">
      <alignment horizontal="right" indent="1"/>
    </xf>
    <xf numFmtId="4" fontId="78" fillId="0" borderId="35" xfId="0" applyNumberFormat="1" applyFont="1" applyBorder="1"/>
    <xf numFmtId="4" fontId="78" fillId="0" borderId="36" xfId="0" applyNumberFormat="1" applyFont="1" applyBorder="1"/>
    <xf numFmtId="4" fontId="78" fillId="0" borderId="37" xfId="0" applyNumberFormat="1" applyFont="1" applyBorder="1"/>
    <xf numFmtId="0" fontId="78" fillId="0" borderId="0" xfId="0" applyFont="1" applyFill="1"/>
    <xf numFmtId="0" fontId="78" fillId="0" borderId="18" xfId="0" applyFont="1" applyFill="1" applyBorder="1"/>
    <xf numFmtId="0" fontId="78" fillId="0" borderId="0" xfId="0" applyFont="1" applyFill="1" applyBorder="1"/>
    <xf numFmtId="4" fontId="78" fillId="0" borderId="18" xfId="0" applyNumberFormat="1" applyFont="1" applyFill="1" applyBorder="1"/>
    <xf numFmtId="4" fontId="78" fillId="0" borderId="0" xfId="0" applyNumberFormat="1" applyFont="1" applyFill="1" applyBorder="1"/>
    <xf numFmtId="4" fontId="78" fillId="0" borderId="0" xfId="0" applyNumberFormat="1" applyFont="1" applyFill="1"/>
    <xf numFmtId="0" fontId="78" fillId="25" borderId="11" xfId="0" applyFont="1" applyFill="1" applyBorder="1"/>
    <xf numFmtId="0" fontId="78" fillId="25" borderId="11" xfId="0" applyFont="1" applyFill="1" applyBorder="1" applyAlignment="1">
      <alignment horizontal="center"/>
    </xf>
    <xf numFmtId="0" fontId="78" fillId="0" borderId="11" xfId="0" applyFont="1" applyBorder="1"/>
    <xf numFmtId="4" fontId="78" fillId="0" borderId="23" xfId="0" applyNumberFormat="1" applyFont="1" applyBorder="1"/>
    <xf numFmtId="4" fontId="78" fillId="0" borderId="11" xfId="0" applyNumberFormat="1" applyFont="1" applyBorder="1"/>
    <xf numFmtId="4" fontId="78" fillId="0" borderId="24" xfId="0" applyNumberFormat="1" applyFont="1" applyBorder="1" applyAlignment="1">
      <alignment horizontal="right" indent="1"/>
    </xf>
    <xf numFmtId="4" fontId="78" fillId="0" borderId="38" xfId="0" applyNumberFormat="1" applyFont="1" applyBorder="1"/>
    <xf numFmtId="4" fontId="78" fillId="0" borderId="39" xfId="0" applyNumberFormat="1" applyFont="1" applyBorder="1"/>
    <xf numFmtId="4" fontId="78" fillId="0" borderId="40" xfId="0" applyNumberFormat="1" applyFont="1" applyBorder="1"/>
    <xf numFmtId="0" fontId="79" fillId="25" borderId="29" xfId="0" applyFont="1" applyFill="1" applyBorder="1"/>
    <xf numFmtId="0" fontId="79" fillId="25" borderId="29" xfId="0" applyFont="1" applyFill="1" applyBorder="1" applyAlignment="1">
      <alignment horizontal="center"/>
    </xf>
    <xf numFmtId="0" fontId="79" fillId="0" borderId="29" xfId="0" applyFont="1" applyBorder="1"/>
    <xf numFmtId="4" fontId="79" fillId="0" borderId="30" xfId="0" applyNumberFormat="1" applyFont="1" applyBorder="1"/>
    <xf numFmtId="4" fontId="79" fillId="0" borderId="29" xfId="0" applyNumberFormat="1" applyFont="1" applyBorder="1"/>
    <xf numFmtId="4" fontId="79" fillId="0" borderId="31" xfId="0" applyNumberFormat="1" applyFont="1" applyBorder="1" applyAlignment="1">
      <alignment horizontal="right" indent="1"/>
    </xf>
    <xf numFmtId="4" fontId="79" fillId="0" borderId="32" xfId="0" applyNumberFormat="1" applyFont="1" applyBorder="1"/>
    <xf numFmtId="4" fontId="79" fillId="0" borderId="33" xfId="0" applyNumberFormat="1" applyFont="1" applyBorder="1"/>
    <xf numFmtId="4" fontId="79" fillId="0" borderId="34" xfId="0" applyNumberFormat="1" applyFont="1" applyBorder="1"/>
    <xf numFmtId="0" fontId="79" fillId="0" borderId="0" xfId="0" applyFont="1"/>
    <xf numFmtId="0" fontId="78" fillId="26" borderId="0" xfId="0" applyFont="1" applyFill="1"/>
    <xf numFmtId="0" fontId="78" fillId="26" borderId="0" xfId="0" applyFont="1" applyFill="1" applyAlignment="1">
      <alignment horizontal="center"/>
    </xf>
    <xf numFmtId="0" fontId="78" fillId="26" borderId="0" xfId="0" applyFont="1" applyFill="1" applyBorder="1"/>
    <xf numFmtId="4" fontId="78" fillId="0" borderId="41" xfId="0" applyNumberFormat="1" applyFont="1" applyBorder="1"/>
    <xf numFmtId="4" fontId="78" fillId="0" borderId="42" xfId="0" applyNumberFormat="1" applyFont="1" applyBorder="1"/>
    <xf numFmtId="4" fontId="78" fillId="0" borderId="43" xfId="0" applyNumberFormat="1" applyFont="1" applyBorder="1"/>
    <xf numFmtId="4" fontId="78" fillId="0" borderId="44" xfId="0" applyNumberFormat="1" applyFont="1" applyBorder="1"/>
    <xf numFmtId="4" fontId="78" fillId="0" borderId="45" xfId="0" applyNumberFormat="1" applyFont="1" applyBorder="1"/>
    <xf numFmtId="0" fontId="79" fillId="26" borderId="29" xfId="0" applyFont="1" applyFill="1" applyBorder="1"/>
    <xf numFmtId="0" fontId="79" fillId="26" borderId="29" xfId="0" applyFont="1" applyFill="1" applyBorder="1" applyAlignment="1">
      <alignment horizontal="center"/>
    </xf>
    <xf numFmtId="0" fontId="78" fillId="0" borderId="0" xfId="0" applyFont="1" applyAlignment="1">
      <alignment horizontal="center"/>
    </xf>
    <xf numFmtId="0" fontId="78" fillId="0" borderId="0" xfId="0" applyFont="1" applyAlignment="1">
      <alignment horizontal="right" indent="1"/>
    </xf>
    <xf numFmtId="0" fontId="0" fillId="0" borderId="0" xfId="0" applyAlignment="1">
      <alignment horizontal="right" indent="1"/>
    </xf>
    <xf numFmtId="4" fontId="0" fillId="0" borderId="0" xfId="0" applyNumberFormat="1"/>
    <xf numFmtId="0" fontId="49" fillId="0" borderId="11" xfId="0" applyFont="1" applyBorder="1"/>
    <xf numFmtId="0" fontId="3" fillId="0" borderId="0" xfId="0" applyFont="1"/>
    <xf numFmtId="0" fontId="77" fillId="28" borderId="11" xfId="0" applyFont="1" applyFill="1" applyBorder="1" applyAlignment="1">
      <alignment horizontal="center" vertical="center" wrapText="1"/>
    </xf>
    <xf numFmtId="0" fontId="49" fillId="0" borderId="0" xfId="0" applyFont="1" applyBorder="1"/>
    <xf numFmtId="0" fontId="50" fillId="0" borderId="0" xfId="0" applyNumberFormat="1" applyFont="1" applyFill="1" applyAlignment="1">
      <alignment horizontal="justify" vertical="top" wrapText="1"/>
    </xf>
    <xf numFmtId="4" fontId="78" fillId="0" borderId="0" xfId="0" applyNumberFormat="1" applyFont="1" applyAlignment="1">
      <alignment horizontal="right" indent="1"/>
    </xf>
    <xf numFmtId="0" fontId="49" fillId="0" borderId="0" xfId="0" applyFont="1"/>
    <xf numFmtId="0" fontId="80" fillId="0" borderId="0" xfId="0" applyFont="1"/>
    <xf numFmtId="0" fontId="40" fillId="0" borderId="0" xfId="377" applyFont="1" applyFill="1" applyAlignment="1" applyProtection="1">
      <alignment horizontal="center" vertical="center"/>
    </xf>
    <xf numFmtId="4" fontId="40" fillId="0" borderId="0" xfId="377" applyNumberFormat="1" applyFont="1" applyFill="1" applyAlignment="1" applyProtection="1">
      <alignment horizontal="center" vertical="center"/>
    </xf>
    <xf numFmtId="0" fontId="40" fillId="0" borderId="0" xfId="377" quotePrefix="1" applyNumberFormat="1" applyFont="1" applyFill="1" applyAlignment="1" applyProtection="1">
      <alignment vertical="top" wrapText="1"/>
    </xf>
    <xf numFmtId="0" fontId="40" fillId="0" borderId="0" xfId="0" applyFont="1" applyFill="1" applyAlignment="1">
      <alignment horizontal="justify"/>
    </xf>
    <xf numFmtId="2" fontId="33" fillId="0" borderId="0" xfId="377" applyNumberFormat="1" applyFont="1" applyFill="1" applyBorder="1" applyAlignment="1" applyProtection="1">
      <alignment vertical="top"/>
    </xf>
    <xf numFmtId="49" fontId="40" fillId="0" borderId="0" xfId="0" quotePrefix="1" applyNumberFormat="1" applyFont="1" applyFill="1" applyAlignment="1">
      <alignment horizontal="justify" vertical="top" wrapText="1"/>
    </xf>
    <xf numFmtId="0" fontId="40" fillId="0" borderId="0" xfId="0" applyFont="1" applyFill="1" applyBorder="1" applyAlignment="1">
      <alignment horizontal="justify" wrapText="1"/>
    </xf>
    <xf numFmtId="0" fontId="40" fillId="0" borderId="0" xfId="377" applyFont="1" applyFill="1" applyBorder="1" applyAlignment="1" applyProtection="1">
      <alignment vertical="top"/>
    </xf>
    <xf numFmtId="0" fontId="40" fillId="0" borderId="0" xfId="377" applyFont="1" applyFill="1" applyAlignment="1" applyProtection="1">
      <alignment vertical="top" wrapText="1"/>
    </xf>
    <xf numFmtId="0" fontId="40" fillId="0" borderId="0" xfId="377" applyFont="1" applyBorder="1" applyAlignment="1" applyProtection="1">
      <alignment horizontal="center" vertical="top"/>
    </xf>
    <xf numFmtId="0" fontId="40" fillId="0" borderId="0" xfId="0" applyNumberFormat="1" applyFont="1" applyBorder="1" applyAlignment="1" applyProtection="1">
      <alignment horizontal="justify" vertical="center" wrapText="1"/>
    </xf>
    <xf numFmtId="49" fontId="40" fillId="0" borderId="0" xfId="0" applyNumberFormat="1" applyFont="1" applyBorder="1" applyAlignment="1" applyProtection="1">
      <alignment horizontal="center" vertical="top"/>
    </xf>
    <xf numFmtId="0" fontId="3" fillId="0" borderId="0" xfId="377" applyFont="1" applyFill="1" applyBorder="1" applyAlignment="1">
      <alignment horizontal="justify" vertical="top" wrapText="1"/>
    </xf>
    <xf numFmtId="0" fontId="40" fillId="0" borderId="0" xfId="0" applyFont="1" applyBorder="1" applyAlignment="1">
      <alignment horizontal="center"/>
    </xf>
    <xf numFmtId="4" fontId="40" fillId="0" borderId="0" xfId="0" applyNumberFormat="1" applyFont="1" applyBorder="1" applyAlignment="1" applyProtection="1">
      <alignment horizontal="center" vertical="center"/>
    </xf>
    <xf numFmtId="0" fontId="40" fillId="0" borderId="0" xfId="377" applyFont="1" applyFill="1" applyAlignment="1" applyProtection="1">
      <alignment horizontal="center" vertical="top"/>
    </xf>
    <xf numFmtId="49" fontId="40" fillId="0" borderId="0" xfId="377" applyNumberFormat="1" applyFont="1" applyFill="1" applyBorder="1" applyAlignment="1" applyProtection="1">
      <alignment horizontal="center" vertical="top" wrapText="1"/>
    </xf>
    <xf numFmtId="0" fontId="40" fillId="0" borderId="0" xfId="0" applyNumberFormat="1" applyFont="1" applyFill="1" applyBorder="1" applyAlignment="1">
      <alignment horizontal="justify" vertical="top" wrapText="1"/>
    </xf>
    <xf numFmtId="0" fontId="40" fillId="0" borderId="0" xfId="0" applyFont="1" applyFill="1" applyBorder="1" applyAlignment="1">
      <alignment horizontal="justify" vertical="top" wrapText="1"/>
    </xf>
    <xf numFmtId="0" fontId="0" fillId="0" borderId="0" xfId="0" applyFill="1" applyBorder="1" applyAlignment="1">
      <alignment horizontal="left" wrapText="1"/>
    </xf>
    <xf numFmtId="49" fontId="40" fillId="0" borderId="0" xfId="0" applyNumberFormat="1" applyFont="1" applyBorder="1" applyAlignment="1" applyProtection="1">
      <alignment horizontal="justify" vertical="top" wrapText="1"/>
    </xf>
    <xf numFmtId="0" fontId="40" fillId="0" borderId="0" xfId="578" applyNumberFormat="1" applyFont="1" applyFill="1" applyBorder="1" applyAlignment="1">
      <alignment vertical="top" wrapText="1"/>
    </xf>
    <xf numFmtId="0" fontId="40" fillId="0" borderId="0" xfId="0" quotePrefix="1" applyFont="1" applyFill="1" applyAlignment="1">
      <alignment horizontal="justify" vertical="top" wrapText="1"/>
    </xf>
    <xf numFmtId="49" fontId="40" fillId="0" borderId="0" xfId="377" applyNumberFormat="1" applyFont="1" applyFill="1" applyBorder="1" applyAlignment="1" applyProtection="1">
      <alignment horizontal="center" vertical="top"/>
    </xf>
    <xf numFmtId="0" fontId="40" fillId="0" borderId="0" xfId="377" applyNumberFormat="1" applyFont="1" applyFill="1" applyAlignment="1" applyProtection="1">
      <alignment vertical="top" wrapText="1" shrinkToFit="1"/>
    </xf>
    <xf numFmtId="49" fontId="40" fillId="0" borderId="0" xfId="377" applyNumberFormat="1" applyFont="1" applyFill="1" applyAlignment="1" applyProtection="1">
      <alignment horizontal="left" vertical="top"/>
    </xf>
    <xf numFmtId="0" fontId="51" fillId="0" borderId="0" xfId="377" applyFont="1" applyAlignment="1" applyProtection="1">
      <alignment horizontal="center" vertical="top"/>
    </xf>
    <xf numFmtId="49" fontId="40" fillId="0" borderId="0" xfId="0" quotePrefix="1" applyNumberFormat="1" applyFont="1" applyBorder="1" applyAlignment="1" applyProtection="1">
      <alignment vertical="top" wrapText="1"/>
    </xf>
    <xf numFmtId="0" fontId="50" fillId="0" borderId="0" xfId="0" applyFont="1" applyFill="1" applyBorder="1" applyAlignment="1" applyProtection="1">
      <alignment horizontal="left"/>
      <protection locked="0"/>
    </xf>
    <xf numFmtId="4" fontId="40" fillId="0" borderId="0" xfId="0" applyNumberFormat="1" applyFont="1" applyFill="1" applyAlignment="1">
      <alignment horizontal="right" wrapText="1"/>
    </xf>
    <xf numFmtId="49" fontId="40" fillId="0" borderId="0" xfId="0" applyNumberFormat="1" applyFont="1" applyFill="1" applyBorder="1" applyAlignment="1" applyProtection="1">
      <alignment horizontal="left" vertical="top"/>
    </xf>
    <xf numFmtId="0" fontId="40" fillId="0" borderId="0" xfId="377" applyFont="1" applyBorder="1" applyAlignment="1" applyProtection="1">
      <alignment vertical="top"/>
    </xf>
    <xf numFmtId="0" fontId="40" fillId="0" borderId="11" xfId="377" applyFont="1" applyBorder="1" applyAlignment="1" applyProtection="1">
      <alignment vertical="top"/>
    </xf>
    <xf numFmtId="0" fontId="40" fillId="0" borderId="11" xfId="377" applyFont="1" applyBorder="1" applyAlignment="1" applyProtection="1">
      <alignment horizontal="justify" vertical="top"/>
    </xf>
    <xf numFmtId="49" fontId="34" fillId="0" borderId="0" xfId="305" applyNumberFormat="1" applyFont="1" applyFill="1" applyBorder="1" applyAlignment="1" applyProtection="1">
      <alignment horizontal="left" vertical="top"/>
    </xf>
    <xf numFmtId="0" fontId="40" fillId="0" borderId="0" xfId="0" applyFont="1" applyFill="1" applyBorder="1" applyAlignment="1" applyProtection="1">
      <alignment horizontal="left" vertical="top"/>
    </xf>
    <xf numFmtId="0" fontId="43" fillId="0" borderId="0" xfId="0" applyFont="1" applyFill="1" applyBorder="1" applyAlignment="1" applyProtection="1">
      <alignment horizontal="left" vertical="top"/>
    </xf>
    <xf numFmtId="4" fontId="44" fillId="0" borderId="0" xfId="132" applyNumberFormat="1" applyFont="1" applyFill="1" applyBorder="1" applyAlignment="1" applyProtection="1">
      <alignment vertical="top"/>
    </xf>
    <xf numFmtId="2" fontId="46" fillId="0" borderId="15" xfId="377" applyNumberFormat="1" applyFont="1" applyFill="1" applyBorder="1" applyAlignment="1" applyProtection="1">
      <alignment horizontal="center" vertical="top"/>
    </xf>
    <xf numFmtId="2" fontId="46" fillId="0" borderId="15" xfId="377" applyNumberFormat="1" applyFont="1" applyFill="1" applyBorder="1" applyAlignment="1" applyProtection="1">
      <alignment vertical="top"/>
    </xf>
    <xf numFmtId="2" fontId="46" fillId="0" borderId="0" xfId="377" applyNumberFormat="1" applyFont="1" applyBorder="1" applyAlignment="1" applyProtection="1">
      <alignment horizontal="left" vertical="top"/>
    </xf>
    <xf numFmtId="49" fontId="33" fillId="0" borderId="0" xfId="377" applyNumberFormat="1" applyFont="1" applyFill="1" applyBorder="1" applyAlignment="1" applyProtection="1">
      <alignment horizontal="right" vertical="top" wrapText="1"/>
    </xf>
    <xf numFmtId="0" fontId="0" fillId="0" borderId="0" xfId="0" applyFill="1" applyAlignment="1">
      <alignment vertical="top" wrapText="1"/>
    </xf>
    <xf numFmtId="0" fontId="40" fillId="0" borderId="0" xfId="0" applyFont="1" applyFill="1" applyBorder="1" applyAlignment="1">
      <alignment vertical="top"/>
    </xf>
    <xf numFmtId="0" fontId="40" fillId="0" borderId="0" xfId="0" applyFont="1" applyFill="1" applyAlignment="1">
      <alignment horizontal="center" vertical="top" wrapText="1"/>
    </xf>
    <xf numFmtId="0" fontId="40" fillId="0" borderId="0" xfId="399" applyFont="1" applyFill="1" applyAlignment="1">
      <alignment horizontal="justify" vertical="top" wrapText="1"/>
    </xf>
    <xf numFmtId="0" fontId="80" fillId="0" borderId="0" xfId="0" applyFont="1" applyAlignment="1">
      <alignment vertical="top"/>
    </xf>
    <xf numFmtId="4" fontId="40" fillId="0" borderId="0" xfId="0" applyNumberFormat="1" applyFont="1" applyFill="1" applyAlignment="1">
      <alignment vertical="top"/>
    </xf>
    <xf numFmtId="4" fontId="40" fillId="0" borderId="0" xfId="0" applyNumberFormat="1" applyFont="1" applyFill="1" applyBorder="1" applyAlignment="1">
      <alignment horizontal="left" vertical="top" wrapText="1"/>
    </xf>
    <xf numFmtId="0" fontId="40" fillId="0" borderId="17" xfId="377" applyFont="1" applyBorder="1" applyAlignment="1" applyProtection="1">
      <alignment horizontal="left" vertical="top"/>
    </xf>
    <xf numFmtId="0" fontId="48" fillId="0" borderId="17" xfId="377" applyFont="1" applyBorder="1" applyAlignment="1" applyProtection="1">
      <alignment vertical="top"/>
    </xf>
    <xf numFmtId="0" fontId="40" fillId="0" borderId="0" xfId="377" applyFont="1" applyBorder="1" applyAlignment="1" applyProtection="1">
      <alignment horizontal="left" vertical="top"/>
    </xf>
    <xf numFmtId="0" fontId="46" fillId="0" borderId="0" xfId="377" applyFont="1" applyBorder="1" applyAlignment="1" applyProtection="1">
      <alignment vertical="top"/>
    </xf>
    <xf numFmtId="0" fontId="33" fillId="0" borderId="0" xfId="377" applyFont="1" applyBorder="1" applyAlignment="1" applyProtection="1">
      <alignment horizontal="left" vertical="top"/>
    </xf>
    <xf numFmtId="2" fontId="33" fillId="0" borderId="0" xfId="377" applyNumberFormat="1" applyFont="1" applyBorder="1" applyAlignment="1" applyProtection="1">
      <alignment horizontal="left" vertical="top"/>
    </xf>
    <xf numFmtId="0" fontId="33" fillId="0" borderId="0" xfId="377" applyFont="1" applyFill="1" applyBorder="1" applyAlignment="1" applyProtection="1">
      <alignment horizontal="left" vertical="top"/>
    </xf>
    <xf numFmtId="2" fontId="33" fillId="0" borderId="0" xfId="377" applyNumberFormat="1" applyFont="1" applyFill="1" applyBorder="1" applyAlignment="1" applyProtection="1">
      <alignment horizontal="left" vertical="top"/>
    </xf>
    <xf numFmtId="0" fontId="40" fillId="0" borderId="0" xfId="377" applyFont="1" applyAlignment="1" applyProtection="1">
      <alignment horizontal="center"/>
    </xf>
    <xf numFmtId="4" fontId="40" fillId="0" borderId="0" xfId="377" applyNumberFormat="1" applyFont="1" applyAlignment="1" applyProtection="1">
      <alignment horizontal="center"/>
    </xf>
    <xf numFmtId="4" fontId="40" fillId="0" borderId="0" xfId="0" applyNumberFormat="1" applyFont="1" applyBorder="1" applyAlignment="1" applyProtection="1">
      <alignment horizontal="center"/>
    </xf>
    <xf numFmtId="0" fontId="3" fillId="0" borderId="0" xfId="0" applyFont="1" applyBorder="1" applyAlignment="1">
      <alignment horizontal="left" vertical="top" wrapText="1"/>
    </xf>
    <xf numFmtId="0" fontId="40" fillId="0" borderId="0" xfId="398" applyFont="1" applyFill="1" applyAlignment="1" applyProtection="1">
      <alignment horizontal="left" vertical="top" wrapText="1"/>
    </xf>
    <xf numFmtId="0" fontId="40" fillId="0" borderId="0" xfId="0" applyNumberFormat="1" applyFont="1" applyBorder="1" applyAlignment="1" applyProtection="1">
      <alignment horizontal="justify" vertical="top" wrapText="1"/>
    </xf>
    <xf numFmtId="4" fontId="40" fillId="0" borderId="0" xfId="377" applyNumberFormat="1" applyFont="1" applyFill="1" applyAlignment="1" applyProtection="1">
      <alignment horizontal="center"/>
    </xf>
    <xf numFmtId="0" fontId="84" fillId="0" borderId="0" xfId="578" applyFont="1" applyFill="1" applyBorder="1" applyAlignment="1">
      <alignment horizontal="justify" vertical="top"/>
    </xf>
    <xf numFmtId="0" fontId="40" fillId="0" borderId="0" xfId="578" applyFont="1" applyFill="1" applyBorder="1" applyAlignment="1">
      <alignment horizontal="justify" vertical="top" wrapText="1"/>
    </xf>
    <xf numFmtId="0" fontId="40" fillId="0" borderId="0" xfId="0" applyFont="1" applyAlignment="1">
      <alignment horizontal="left" vertical="top" wrapText="1"/>
    </xf>
    <xf numFmtId="2" fontId="40" fillId="0" borderId="0" xfId="0" applyNumberFormat="1" applyFont="1" applyFill="1" applyAlignment="1">
      <alignment horizontal="center" vertical="top"/>
    </xf>
    <xf numFmtId="49" fontId="33" fillId="0" borderId="0" xfId="0" applyNumberFormat="1" applyFont="1" applyFill="1" applyBorder="1" applyAlignment="1" applyProtection="1">
      <alignment horizontal="left" vertical="top"/>
    </xf>
    <xf numFmtId="49" fontId="40" fillId="0" borderId="0" xfId="0" applyNumberFormat="1" applyFont="1" applyFill="1" applyBorder="1" applyAlignment="1" applyProtection="1">
      <alignment vertical="top" wrapText="1"/>
    </xf>
    <xf numFmtId="0" fontId="50" fillId="0" borderId="0" xfId="0" applyFont="1" applyFill="1" applyBorder="1"/>
    <xf numFmtId="4" fontId="88" fillId="0" borderId="0" xfId="0" applyNumberFormat="1" applyFont="1" applyAlignment="1">
      <alignment horizontal="right"/>
    </xf>
    <xf numFmtId="2" fontId="89" fillId="0" borderId="0" xfId="0" applyNumberFormat="1" applyFont="1" applyAlignment="1">
      <alignment horizontal="center"/>
    </xf>
    <xf numFmtId="4" fontId="87" fillId="0" borderId="0" xfId="569" applyNumberFormat="1" applyFont="1" applyAlignment="1">
      <alignment horizontal="right"/>
    </xf>
    <xf numFmtId="0" fontId="84" fillId="0" borderId="0" xfId="0" applyFont="1"/>
    <xf numFmtId="0" fontId="84" fillId="0" borderId="0" xfId="0" applyFont="1" applyAlignment="1">
      <alignment horizontal="center"/>
    </xf>
    <xf numFmtId="0" fontId="91" fillId="0" borderId="0" xfId="0" applyFont="1"/>
    <xf numFmtId="0" fontId="84" fillId="0" borderId="46" xfId="0" applyFont="1" applyBorder="1"/>
    <xf numFmtId="0" fontId="84" fillId="0" borderId="46" xfId="0" applyFont="1" applyBorder="1" applyAlignment="1">
      <alignment horizontal="center"/>
    </xf>
    <xf numFmtId="0" fontId="84" fillId="0" borderId="47" xfId="0" applyFont="1" applyBorder="1"/>
    <xf numFmtId="0" fontId="84" fillId="0" borderId="47" xfId="0" applyFont="1" applyBorder="1" applyAlignment="1">
      <alignment horizontal="center"/>
    </xf>
    <xf numFmtId="0" fontId="84" fillId="0" borderId="48" xfId="0" applyFont="1" applyBorder="1"/>
    <xf numFmtId="0" fontId="84" fillId="0" borderId="50" xfId="0" applyFont="1" applyBorder="1"/>
    <xf numFmtId="0" fontId="92" fillId="0" borderId="0" xfId="0" applyFont="1"/>
    <xf numFmtId="0" fontId="84" fillId="0" borderId="18" xfId="0" applyFont="1" applyBorder="1"/>
    <xf numFmtId="0" fontId="84" fillId="0" borderId="0" xfId="0" applyFont="1" applyBorder="1"/>
    <xf numFmtId="0" fontId="84" fillId="0" borderId="0" xfId="0" applyFont="1" applyBorder="1" applyAlignment="1">
      <alignment horizontal="center"/>
    </xf>
    <xf numFmtId="0" fontId="84" fillId="0" borderId="23" xfId="0" applyFont="1" applyBorder="1"/>
    <xf numFmtId="0" fontId="84" fillId="0" borderId="11" xfId="0" applyFont="1" applyBorder="1" applyAlignment="1">
      <alignment horizontal="center"/>
    </xf>
    <xf numFmtId="0" fontId="84" fillId="0" borderId="19" xfId="0" applyFont="1" applyBorder="1"/>
    <xf numFmtId="0" fontId="84" fillId="0" borderId="15" xfId="0" applyFont="1" applyBorder="1"/>
    <xf numFmtId="0" fontId="84" fillId="0" borderId="15" xfId="0" applyFont="1" applyBorder="1" applyAlignment="1">
      <alignment horizontal="center"/>
    </xf>
    <xf numFmtId="0" fontId="91" fillId="0" borderId="11" xfId="0" applyFont="1" applyBorder="1"/>
    <xf numFmtId="49" fontId="84" fillId="0" borderId="0" xfId="0" applyNumberFormat="1" applyFont="1" applyFill="1" applyAlignment="1">
      <alignment horizontal="center" vertical="top"/>
    </xf>
    <xf numFmtId="0" fontId="91" fillId="0" borderId="0" xfId="0" applyNumberFormat="1" applyFont="1" applyFill="1" applyAlignment="1" applyProtection="1">
      <alignment horizontal="center" vertical="center" wrapText="1"/>
      <protection locked="0"/>
    </xf>
    <xf numFmtId="0" fontId="84" fillId="0" borderId="0" xfId="0" applyFont="1" applyFill="1" applyAlignment="1">
      <alignment horizontal="center" vertical="top"/>
    </xf>
    <xf numFmtId="0" fontId="91" fillId="0" borderId="0" xfId="0" applyFont="1" applyFill="1"/>
    <xf numFmtId="0" fontId="84" fillId="0" borderId="0" xfId="0" applyFont="1" applyFill="1"/>
    <xf numFmtId="49" fontId="91" fillId="0" borderId="0" xfId="0" applyNumberFormat="1" applyFont="1" applyFill="1" applyAlignment="1">
      <alignment horizontal="center" vertical="top"/>
    </xf>
    <xf numFmtId="0" fontId="91" fillId="0" borderId="0" xfId="0" applyNumberFormat="1" applyFont="1" applyFill="1" applyAlignment="1" applyProtection="1">
      <alignment horizontal="left" vertical="center" wrapText="1"/>
      <protection locked="0"/>
    </xf>
    <xf numFmtId="49" fontId="91" fillId="0" borderId="0" xfId="0" applyNumberFormat="1" applyFont="1" applyFill="1" applyAlignment="1">
      <alignment horizontal="center" vertical="center"/>
    </xf>
    <xf numFmtId="0" fontId="91" fillId="0" borderId="0" xfId="0" applyFont="1" applyFill="1" applyAlignment="1">
      <alignment horizontal="left" vertical="center" wrapText="1"/>
    </xf>
    <xf numFmtId="0" fontId="84" fillId="0" borderId="0" xfId="0" applyFont="1" applyAlignment="1">
      <alignment horizontal="left" vertical="center" wrapText="1"/>
    </xf>
    <xf numFmtId="0" fontId="84" fillId="0" borderId="0" xfId="0" applyFont="1" applyFill="1" applyAlignment="1">
      <alignment horizontal="center"/>
    </xf>
    <xf numFmtId="4" fontId="84" fillId="0" borderId="0" xfId="0" applyNumberFormat="1" applyFont="1" applyFill="1" applyAlignment="1">
      <alignment horizontal="right"/>
    </xf>
    <xf numFmtId="0" fontId="84" fillId="0" borderId="0" xfId="0" applyFont="1" applyFill="1" applyAlignment="1">
      <alignment horizontal="justify"/>
    </xf>
    <xf numFmtId="2" fontId="84" fillId="0" borderId="0" xfId="0" applyNumberFormat="1" applyFont="1" applyFill="1" applyAlignment="1">
      <alignment horizontal="center" vertical="top"/>
    </xf>
    <xf numFmtId="0" fontId="84" fillId="0" borderId="0" xfId="0" applyFont="1" applyFill="1" applyAlignment="1">
      <alignment horizontal="justify" vertical="top" wrapText="1"/>
    </xf>
    <xf numFmtId="165" fontId="84" fillId="0" borderId="0" xfId="580" applyFont="1" applyFill="1" applyBorder="1" applyAlignment="1" applyProtection="1">
      <alignment horizontal="center"/>
    </xf>
    <xf numFmtId="49" fontId="91" fillId="0" borderId="54" xfId="0" applyNumberFormat="1" applyFont="1" applyFill="1" applyBorder="1" applyAlignment="1">
      <alignment horizontal="center"/>
    </xf>
    <xf numFmtId="0" fontId="91" fillId="0" borderId="54" xfId="0" applyFont="1" applyFill="1" applyBorder="1" applyAlignment="1">
      <alignment horizontal="left"/>
    </xf>
    <xf numFmtId="2" fontId="84" fillId="0" borderId="0" xfId="580" applyNumberFormat="1" applyFont="1" applyFill="1" applyBorder="1" applyAlignment="1" applyProtection="1">
      <alignment horizontal="center"/>
    </xf>
    <xf numFmtId="0" fontId="84" fillId="0" borderId="0" xfId="0" applyFont="1" applyFill="1" applyAlignment="1">
      <alignment horizontal="left" vertical="center" wrapText="1"/>
    </xf>
    <xf numFmtId="49" fontId="84" fillId="0" borderId="55" xfId="0" applyNumberFormat="1" applyFont="1" applyFill="1" applyBorder="1" applyAlignment="1">
      <alignment horizontal="center" vertical="top"/>
    </xf>
    <xf numFmtId="0" fontId="91" fillId="0" borderId="55" xfId="0" applyFont="1" applyFill="1" applyBorder="1" applyAlignment="1">
      <alignment horizontal="left" vertical="top" wrapText="1"/>
    </xf>
    <xf numFmtId="165" fontId="84" fillId="0" borderId="55" xfId="580" applyFont="1" applyFill="1" applyBorder="1" applyAlignment="1" applyProtection="1">
      <alignment horizontal="center"/>
    </xf>
    <xf numFmtId="0" fontId="50" fillId="0" borderId="0" xfId="0" applyFont="1" applyFill="1" applyBorder="1" applyAlignment="1">
      <alignment vertical="top" wrapText="1"/>
    </xf>
    <xf numFmtId="0" fontId="50" fillId="0" borderId="0" xfId="0" applyFont="1" applyBorder="1" applyAlignment="1">
      <alignment vertical="top" wrapText="1"/>
    </xf>
    <xf numFmtId="1" fontId="32" fillId="0" borderId="0" xfId="0" applyNumberFormat="1" applyFont="1" applyFill="1" applyBorder="1" applyAlignment="1">
      <alignment horizontal="center" vertical="top" wrapText="1"/>
    </xf>
    <xf numFmtId="166" fontId="94" fillId="0" borderId="0" xfId="0" applyNumberFormat="1" applyFont="1" applyFill="1" applyBorder="1" applyAlignment="1">
      <alignment horizontal="left" vertical="top" wrapText="1"/>
    </xf>
    <xf numFmtId="166" fontId="94" fillId="0" borderId="0" xfId="0" applyNumberFormat="1" applyFont="1" applyFill="1" applyBorder="1" applyAlignment="1">
      <alignment horizontal="center" wrapText="1"/>
    </xf>
    <xf numFmtId="1" fontId="94" fillId="0" borderId="0" xfId="0" applyNumberFormat="1" applyFont="1" applyFill="1" applyBorder="1" applyAlignment="1">
      <alignment horizontal="center" wrapText="1"/>
    </xf>
    <xf numFmtId="1" fontId="40" fillId="0" borderId="0" xfId="0" applyNumberFormat="1" applyFont="1" applyFill="1" applyBorder="1" applyAlignment="1">
      <alignment horizontal="center" vertical="top"/>
    </xf>
    <xf numFmtId="0" fontId="40" fillId="0" borderId="0" xfId="0" applyFont="1" applyFill="1" applyBorder="1" applyAlignment="1">
      <alignment horizontal="center" vertical="top" wrapText="1"/>
    </xf>
    <xf numFmtId="0" fontId="40" fillId="0" borderId="0" xfId="0" applyNumberFormat="1" applyFont="1" applyFill="1" applyBorder="1" applyAlignment="1">
      <alignment horizontal="center"/>
    </xf>
    <xf numFmtId="1" fontId="40" fillId="0" borderId="0" xfId="0" applyNumberFormat="1" applyFont="1" applyFill="1" applyBorder="1" applyAlignment="1">
      <alignment horizontal="center"/>
    </xf>
    <xf numFmtId="4" fontId="37" fillId="0" borderId="0" xfId="0" applyNumberFormat="1" applyFont="1" applyFill="1" applyBorder="1" applyAlignment="1"/>
    <xf numFmtId="0" fontId="40" fillId="0" borderId="0" xfId="0" applyFont="1" applyFill="1" applyBorder="1" applyAlignment="1">
      <alignment horizontal="right" vertical="top" wrapText="1"/>
    </xf>
    <xf numFmtId="0" fontId="37" fillId="0" borderId="0" xfId="0" applyFont="1" applyAlignment="1">
      <alignment horizontal="left"/>
    </xf>
    <xf numFmtId="0" fontId="37" fillId="0" borderId="0" xfId="0" applyFont="1" applyBorder="1" applyAlignment="1">
      <alignment horizontal="left"/>
    </xf>
    <xf numFmtId="1" fontId="40" fillId="0" borderId="0" xfId="0" applyNumberFormat="1" applyFont="1" applyBorder="1" applyAlignment="1">
      <alignment horizontal="center" vertical="top"/>
    </xf>
    <xf numFmtId="0" fontId="33" fillId="0" borderId="0" xfId="0" applyNumberFormat="1" applyFont="1" applyBorder="1" applyAlignment="1">
      <alignment horizontal="center"/>
    </xf>
    <xf numFmtId="0" fontId="40" fillId="0" borderId="0" xfId="0" applyNumberFormat="1" applyFont="1" applyFill="1" applyBorder="1" applyAlignment="1">
      <alignment horizontal="center" wrapText="1"/>
    </xf>
    <xf numFmtId="0" fontId="40" fillId="0" borderId="0" xfId="0" applyFont="1" applyFill="1" applyBorder="1" applyAlignment="1">
      <alignment horizontal="left" vertical="top" wrapText="1"/>
    </xf>
    <xf numFmtId="1" fontId="37" fillId="0" borderId="0" xfId="0" applyNumberFormat="1" applyFont="1" applyFill="1" applyBorder="1" applyAlignment="1">
      <alignment horizontal="center" vertical="top" wrapText="1"/>
    </xf>
    <xf numFmtId="0" fontId="37" fillId="0" borderId="0" xfId="0" applyFont="1" applyFill="1" applyBorder="1" applyAlignment="1">
      <alignment horizontal="center" vertical="top" wrapText="1"/>
    </xf>
    <xf numFmtId="0" fontId="37" fillId="0" borderId="0" xfId="0" applyNumberFormat="1" applyFont="1" applyFill="1" applyBorder="1" applyAlignment="1">
      <alignment horizontal="center" wrapText="1"/>
    </xf>
    <xf numFmtId="1" fontId="37" fillId="0" borderId="0" xfId="0" applyNumberFormat="1" applyFont="1" applyFill="1" applyBorder="1" applyAlignment="1">
      <alignment horizontal="center"/>
    </xf>
    <xf numFmtId="4" fontId="37" fillId="0" borderId="0" xfId="0" applyNumberFormat="1" applyFont="1" applyFill="1" applyBorder="1" applyAlignment="1">
      <alignment wrapText="1"/>
    </xf>
    <xf numFmtId="1" fontId="37" fillId="0" borderId="0" xfId="0" applyNumberFormat="1" applyFont="1" applyFill="1" applyBorder="1" applyAlignment="1">
      <alignment horizontal="center" vertical="top"/>
    </xf>
    <xf numFmtId="0" fontId="36" fillId="0" borderId="0" xfId="0" applyFont="1" applyFill="1" applyBorder="1" applyAlignment="1">
      <alignment horizontal="left" vertical="top" wrapText="1"/>
    </xf>
    <xf numFmtId="0" fontId="36" fillId="0" borderId="0" xfId="0" applyFont="1" applyFill="1" applyBorder="1" applyAlignment="1">
      <alignment horizontal="center" wrapText="1"/>
    </xf>
    <xf numFmtId="1" fontId="36" fillId="0" borderId="0" xfId="0" applyNumberFormat="1" applyFont="1" applyFill="1" applyBorder="1" applyAlignment="1">
      <alignment horizontal="center" wrapText="1"/>
    </xf>
    <xf numFmtId="0" fontId="37" fillId="0" borderId="0" xfId="0" applyFont="1" applyAlignment="1">
      <alignment horizontal="justify" vertical="top" wrapText="1"/>
    </xf>
    <xf numFmtId="1" fontId="37" fillId="0" borderId="0" xfId="0" applyNumberFormat="1" applyFont="1" applyAlignment="1">
      <alignment horizontal="center" vertical="top"/>
    </xf>
    <xf numFmtId="0" fontId="36" fillId="0" borderId="0" xfId="0" applyFont="1" applyFill="1" applyBorder="1" applyAlignment="1">
      <alignment horizontal="justify" vertical="top" wrapText="1"/>
    </xf>
    <xf numFmtId="0" fontId="36" fillId="0" borderId="0" xfId="0" applyFont="1" applyBorder="1" applyAlignment="1">
      <alignment horizontal="center"/>
    </xf>
    <xf numFmtId="1" fontId="37" fillId="0" borderId="0" xfId="0" applyNumberFormat="1" applyFont="1" applyFill="1" applyBorder="1" applyAlignment="1" applyProtection="1">
      <alignment horizontal="center" vertical="top"/>
    </xf>
    <xf numFmtId="0" fontId="36" fillId="0" borderId="0" xfId="0" applyFont="1" applyFill="1" applyBorder="1" applyAlignment="1" applyProtection="1">
      <alignment horizontal="left" vertical="center"/>
    </xf>
    <xf numFmtId="0" fontId="37" fillId="0" borderId="0" xfId="0" applyFont="1" applyBorder="1" applyAlignment="1">
      <alignment horizontal="center"/>
    </xf>
    <xf numFmtId="1" fontId="37" fillId="0" borderId="0" xfId="0" applyNumberFormat="1" applyFont="1" applyBorder="1" applyAlignment="1">
      <alignment horizontal="center"/>
    </xf>
    <xf numFmtId="0" fontId="36" fillId="0" borderId="0" xfId="0" applyFont="1" applyFill="1" applyBorder="1" applyAlignment="1" applyProtection="1">
      <alignment vertical="center"/>
    </xf>
    <xf numFmtId="0" fontId="37" fillId="32" borderId="0" xfId="0" applyFont="1" applyFill="1" applyBorder="1" applyAlignment="1" applyProtection="1">
      <alignment vertical="center" wrapText="1"/>
    </xf>
    <xf numFmtId="0" fontId="37" fillId="0" borderId="0" xfId="0" applyFont="1" applyFill="1" applyBorder="1" applyAlignment="1" applyProtection="1">
      <alignment horizontal="center"/>
    </xf>
    <xf numFmtId="1" fontId="37" fillId="0" borderId="0" xfId="0" applyNumberFormat="1" applyFont="1" applyFill="1" applyBorder="1" applyAlignment="1" applyProtection="1">
      <alignment horizontal="center"/>
    </xf>
    <xf numFmtId="0" fontId="37" fillId="0" borderId="0" xfId="177" applyNumberFormat="1" applyFont="1" applyFill="1" applyBorder="1" applyAlignment="1" applyProtection="1">
      <alignment vertical="center" wrapText="1"/>
    </xf>
    <xf numFmtId="49" fontId="37" fillId="0" borderId="52" xfId="0" applyNumberFormat="1" applyFont="1" applyFill="1" applyBorder="1" applyAlignment="1">
      <alignment horizontal="left" vertical="top" wrapText="1"/>
    </xf>
    <xf numFmtId="0" fontId="37" fillId="0" borderId="0" xfId="0" applyFont="1" applyFill="1" applyBorder="1" applyAlignment="1" applyProtection="1">
      <alignment vertical="center" wrapText="1"/>
    </xf>
    <xf numFmtId="1" fontId="37" fillId="0" borderId="0" xfId="0" applyNumberFormat="1" applyFont="1" applyFill="1" applyBorder="1" applyAlignment="1" applyProtection="1">
      <alignment horizontal="center" vertical="top" wrapText="1"/>
    </xf>
    <xf numFmtId="0" fontId="37" fillId="0" borderId="0" xfId="0" applyFont="1" applyFill="1" applyBorder="1" applyAlignment="1" applyProtection="1">
      <alignment horizontal="left" vertical="center" wrapText="1"/>
    </xf>
    <xf numFmtId="0" fontId="37" fillId="32" borderId="11" xfId="0" applyFont="1" applyFill="1" applyBorder="1" applyAlignment="1" applyProtection="1">
      <alignment vertical="center" wrapText="1"/>
    </xf>
    <xf numFmtId="0" fontId="37" fillId="0" borderId="11" xfId="0" applyFont="1" applyFill="1" applyBorder="1" applyAlignment="1" applyProtection="1">
      <alignment horizontal="center"/>
    </xf>
    <xf numFmtId="1" fontId="37" fillId="0" borderId="11" xfId="0" applyNumberFormat="1" applyFont="1" applyFill="1" applyBorder="1" applyAlignment="1" applyProtection="1">
      <alignment horizontal="center"/>
    </xf>
    <xf numFmtId="0" fontId="36" fillId="32" borderId="0" xfId="0" applyFont="1" applyFill="1" applyBorder="1" applyAlignment="1" applyProtection="1">
      <alignment vertical="center" wrapText="1"/>
    </xf>
    <xf numFmtId="0" fontId="36" fillId="0" borderId="0" xfId="0" applyFont="1" applyFill="1" applyBorder="1" applyAlignment="1" applyProtection="1">
      <alignment horizontal="center"/>
    </xf>
    <xf numFmtId="1" fontId="36" fillId="0" borderId="0"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4" fontId="37" fillId="0" borderId="0" xfId="0" applyNumberFormat="1" applyFont="1" applyBorder="1" applyAlignment="1"/>
    <xf numFmtId="4" fontId="37" fillId="0" borderId="11" xfId="0" applyNumberFormat="1" applyFont="1" applyBorder="1" applyAlignment="1"/>
    <xf numFmtId="49" fontId="37" fillId="0" borderId="0" xfId="0" applyNumberFormat="1" applyFont="1" applyFill="1" applyBorder="1" applyAlignment="1">
      <alignment horizontal="left" vertical="top" wrapText="1"/>
    </xf>
    <xf numFmtId="1" fontId="37" fillId="0" borderId="0" xfId="0" applyNumberFormat="1" applyFont="1" applyBorder="1" applyAlignment="1" applyProtection="1">
      <alignment horizontal="center" vertical="top"/>
    </xf>
    <xf numFmtId="0" fontId="36" fillId="0" borderId="0" xfId="0" applyNumberFormat="1" applyFont="1" applyBorder="1" applyAlignment="1" applyProtection="1">
      <alignment vertical="justify" wrapText="1"/>
    </xf>
    <xf numFmtId="1" fontId="37" fillId="0" borderId="0" xfId="0" applyNumberFormat="1" applyFont="1" applyBorder="1" applyAlignment="1" applyProtection="1">
      <alignment horizontal="center" wrapText="1"/>
    </xf>
    <xf numFmtId="1" fontId="36" fillId="0" borderId="0" xfId="0" applyNumberFormat="1" applyFont="1" applyFill="1" applyBorder="1" applyAlignment="1" applyProtection="1">
      <alignment horizontal="center" vertical="top" wrapText="1"/>
    </xf>
    <xf numFmtId="0" fontId="37" fillId="0" borderId="0" xfId="0" applyFont="1" applyBorder="1" applyAlignment="1">
      <alignment horizontal="justify" vertical="top" wrapText="1"/>
    </xf>
    <xf numFmtId="4" fontId="37" fillId="0" borderId="0" xfId="581" applyNumberFormat="1" applyFont="1" applyBorder="1" applyAlignment="1"/>
    <xf numFmtId="0" fontId="37" fillId="0" borderId="0" xfId="0" applyNumberFormat="1" applyFont="1" applyBorder="1" applyAlignment="1" applyProtection="1">
      <alignment horizontal="center" wrapText="1"/>
    </xf>
    <xf numFmtId="3" fontId="37" fillId="0" borderId="0" xfId="0" applyNumberFormat="1" applyFont="1" applyBorder="1" applyAlignment="1" applyProtection="1">
      <alignment horizontal="center" wrapText="1"/>
    </xf>
    <xf numFmtId="0" fontId="37" fillId="0" borderId="56" xfId="0" applyNumberFormat="1" applyFont="1" applyBorder="1" applyAlignment="1" applyProtection="1">
      <alignment horizontal="center" wrapText="1"/>
    </xf>
    <xf numFmtId="3" fontId="37" fillId="0" borderId="56" xfId="0" applyNumberFormat="1" applyFont="1" applyBorder="1" applyAlignment="1" applyProtection="1">
      <alignment horizontal="center" wrapText="1"/>
    </xf>
    <xf numFmtId="0" fontId="37" fillId="0" borderId="0" xfId="0" applyFont="1" applyAlignment="1">
      <alignment vertical="top" wrapText="1"/>
    </xf>
    <xf numFmtId="0" fontId="97" fillId="0" borderId="0" xfId="0" applyFont="1" applyAlignment="1">
      <alignment vertical="top" wrapText="1"/>
    </xf>
    <xf numFmtId="0" fontId="37" fillId="0" borderId="11" xfId="0" applyFont="1" applyBorder="1" applyAlignment="1">
      <alignment vertical="top" wrapText="1"/>
    </xf>
    <xf numFmtId="0" fontId="37" fillId="0" borderId="11" xfId="0" applyNumberFormat="1" applyFont="1" applyBorder="1" applyAlignment="1" applyProtection="1">
      <alignment horizontal="center" wrapText="1"/>
    </xf>
    <xf numFmtId="3" fontId="37" fillId="0" borderId="11" xfId="0" applyNumberFormat="1" applyFont="1" applyBorder="1" applyAlignment="1" applyProtection="1">
      <alignment horizontal="center" wrapText="1"/>
    </xf>
    <xf numFmtId="0" fontId="36" fillId="0" borderId="0" xfId="0" applyFont="1" applyBorder="1" applyAlignment="1">
      <alignment vertical="top" wrapText="1"/>
    </xf>
    <xf numFmtId="0" fontId="36" fillId="0" borderId="56" xfId="0" applyFont="1" applyBorder="1" applyAlignment="1">
      <alignment horizontal="center"/>
    </xf>
    <xf numFmtId="0" fontId="37" fillId="0" borderId="52" xfId="0" applyFont="1" applyBorder="1" applyAlignment="1" applyProtection="1">
      <alignment horizontal="left" vertical="top" wrapText="1"/>
      <protection locked="0"/>
    </xf>
    <xf numFmtId="0" fontId="50" fillId="0" borderId="11" xfId="0" applyFont="1" applyFill="1" applyBorder="1" applyAlignment="1">
      <alignment horizontal="center" vertical="top" wrapText="1"/>
    </xf>
    <xf numFmtId="0" fontId="50" fillId="0" borderId="11" xfId="0" applyFont="1" applyFill="1" applyBorder="1" applyAlignment="1">
      <alignment vertical="top" wrapText="1"/>
    </xf>
    <xf numFmtId="0" fontId="37" fillId="0" borderId="11" xfId="0" applyFont="1" applyFill="1" applyBorder="1" applyAlignment="1">
      <alignment horizontal="center" wrapText="1"/>
    </xf>
    <xf numFmtId="1" fontId="37" fillId="0" borderId="11" xfId="0" applyNumberFormat="1" applyFont="1" applyFill="1" applyBorder="1" applyAlignment="1">
      <alignment horizontal="center"/>
    </xf>
    <xf numFmtId="0" fontId="37" fillId="0" borderId="0" xfId="0" applyFont="1" applyFill="1" applyBorder="1" applyAlignment="1">
      <alignment horizontal="center" wrapText="1"/>
    </xf>
    <xf numFmtId="1" fontId="37" fillId="0" borderId="0" xfId="582" applyNumberFormat="1" applyFont="1" applyBorder="1" applyAlignment="1">
      <alignment horizontal="center" vertical="top"/>
    </xf>
    <xf numFmtId="0" fontId="36" fillId="0" borderId="0" xfId="583" applyFont="1" applyBorder="1" applyAlignment="1">
      <alignment vertical="top" wrapText="1"/>
    </xf>
    <xf numFmtId="0" fontId="37" fillId="0" borderId="0" xfId="583" applyFont="1" applyBorder="1" applyAlignment="1">
      <alignment vertical="top" wrapText="1"/>
    </xf>
    <xf numFmtId="4" fontId="37" fillId="0" borderId="0" xfId="0" applyNumberFormat="1" applyFont="1" applyFill="1" applyBorder="1" applyAlignment="1" applyProtection="1"/>
    <xf numFmtId="0" fontId="37" fillId="0" borderId="0" xfId="0" applyFont="1" applyBorder="1" applyAlignment="1">
      <alignment vertical="top" wrapText="1"/>
    </xf>
    <xf numFmtId="0" fontId="37" fillId="0" borderId="0" xfId="584" applyFont="1" applyBorder="1" applyAlignment="1">
      <alignment horizontal="center"/>
    </xf>
    <xf numFmtId="1" fontId="37" fillId="0" borderId="0" xfId="584" applyNumberFormat="1" applyFont="1" applyBorder="1" applyAlignment="1">
      <alignment horizontal="center"/>
    </xf>
    <xf numFmtId="0" fontId="37" fillId="0" borderId="0" xfId="0" applyFont="1" applyFill="1" applyBorder="1" applyAlignment="1">
      <alignment wrapText="1"/>
    </xf>
    <xf numFmtId="1" fontId="37" fillId="0" borderId="0" xfId="0" applyNumberFormat="1" applyFont="1" applyAlignment="1">
      <alignment horizontal="center" vertical="top" wrapText="1"/>
    </xf>
    <xf numFmtId="0" fontId="3" fillId="0" borderId="0" xfId="0" applyFont="1" applyAlignment="1">
      <alignment horizontal="center" vertical="center"/>
    </xf>
    <xf numFmtId="1" fontId="3" fillId="0" borderId="0" xfId="0" applyNumberFormat="1" applyFont="1" applyAlignment="1">
      <alignment horizontal="center" vertical="center"/>
    </xf>
    <xf numFmtId="0" fontId="37" fillId="0" borderId="0" xfId="277" applyFont="1" applyFill="1" applyAlignment="1">
      <alignment horizontal="center" vertical="top"/>
    </xf>
    <xf numFmtId="0" fontId="37" fillId="0" borderId="0" xfId="0" applyFont="1" applyAlignment="1">
      <alignment horizontal="left" vertical="top" wrapText="1"/>
    </xf>
    <xf numFmtId="0" fontId="37" fillId="0" borderId="0" xfId="277" applyFont="1" applyFill="1" applyAlignment="1">
      <alignment horizontal="center"/>
    </xf>
    <xf numFmtId="1" fontId="99" fillId="33" borderId="0" xfId="579" applyNumberFormat="1" applyFont="1" applyFill="1" applyBorder="1" applyAlignment="1">
      <alignment horizontal="center"/>
    </xf>
    <xf numFmtId="4" fontId="37" fillId="0" borderId="0" xfId="0" applyNumberFormat="1" applyFont="1" applyFill="1" applyBorder="1" applyAlignment="1">
      <alignment horizontal="center" wrapText="1"/>
    </xf>
    <xf numFmtId="1" fontId="37" fillId="0" borderId="0" xfId="579" applyNumberFormat="1" applyFont="1" applyFill="1" applyBorder="1" applyAlignment="1">
      <alignment horizontal="center"/>
    </xf>
    <xf numFmtId="0" fontId="37" fillId="0" borderId="0" xfId="0" applyFont="1" applyBorder="1" applyAlignment="1">
      <alignment horizontal="left" vertical="top" wrapText="1"/>
    </xf>
    <xf numFmtId="0" fontId="37" fillId="0" borderId="0" xfId="0" applyNumberFormat="1" applyFont="1" applyAlignment="1">
      <alignment vertical="top" wrapText="1"/>
    </xf>
    <xf numFmtId="1" fontId="37" fillId="0" borderId="0" xfId="579" applyNumberFormat="1" applyFont="1" applyFill="1" applyAlignment="1">
      <alignment horizontal="center"/>
    </xf>
    <xf numFmtId="1" fontId="37" fillId="0" borderId="0" xfId="579" applyNumberFormat="1" applyFont="1" applyFill="1" applyBorder="1" applyAlignment="1">
      <alignment horizontal="center" vertical="top" wrapText="1"/>
    </xf>
    <xf numFmtId="1" fontId="37" fillId="0" borderId="0" xfId="579" applyNumberFormat="1" applyFont="1" applyFill="1" applyBorder="1" applyAlignment="1">
      <alignment horizontal="center" wrapText="1"/>
    </xf>
    <xf numFmtId="1" fontId="37" fillId="0" borderId="0" xfId="579" applyNumberFormat="1" applyFont="1" applyAlignment="1">
      <alignment horizontal="center"/>
    </xf>
    <xf numFmtId="0" fontId="40" fillId="0" borderId="0" xfId="0" applyFont="1" applyBorder="1" applyAlignment="1">
      <alignment vertical="top" wrapText="1"/>
    </xf>
    <xf numFmtId="49" fontId="37" fillId="0" borderId="0" xfId="0" applyNumberFormat="1" applyFont="1" applyFill="1" applyBorder="1" applyAlignment="1">
      <alignment horizontal="center" vertical="top" wrapText="1"/>
    </xf>
    <xf numFmtId="1" fontId="37" fillId="0" borderId="0" xfId="583" applyNumberFormat="1" applyFont="1" applyBorder="1" applyAlignment="1">
      <alignment horizontal="center"/>
    </xf>
    <xf numFmtId="0" fontId="40" fillId="0" borderId="0" xfId="0" applyFont="1" applyFill="1" applyBorder="1" applyAlignment="1">
      <alignment vertical="top" wrapText="1"/>
    </xf>
    <xf numFmtId="49" fontId="37" fillId="0" borderId="0" xfId="0" applyNumberFormat="1" applyFont="1" applyFill="1" applyBorder="1" applyAlignment="1">
      <alignment horizontal="center" vertical="top"/>
    </xf>
    <xf numFmtId="0" fontId="37" fillId="0" borderId="0" xfId="0" applyFont="1" applyBorder="1" applyAlignment="1">
      <alignment horizontal="justify" vertical="top"/>
    </xf>
    <xf numFmtId="0" fontId="37" fillId="0" borderId="0" xfId="583" applyFont="1" applyBorder="1" applyAlignment="1">
      <alignment horizontal="left" vertical="top" wrapText="1"/>
    </xf>
    <xf numFmtId="0" fontId="37" fillId="0" borderId="0" xfId="583" applyFont="1" applyBorder="1" applyAlignment="1">
      <alignment horizontal="justify" vertical="top" wrapText="1"/>
    </xf>
    <xf numFmtId="1" fontId="40" fillId="0" borderId="0" xfId="0" applyNumberFormat="1" applyFont="1" applyFill="1" applyBorder="1" applyAlignment="1">
      <alignment horizontal="center" wrapText="1"/>
    </xf>
    <xf numFmtId="49" fontId="37" fillId="0" borderId="11" xfId="0" applyNumberFormat="1" applyFont="1" applyFill="1" applyBorder="1" applyAlignment="1">
      <alignment horizontal="center" vertical="top" wrapText="1"/>
    </xf>
    <xf numFmtId="0" fontId="40" fillId="0" borderId="11" xfId="0" applyFont="1" applyFill="1" applyBorder="1" applyAlignment="1">
      <alignment horizontal="left" vertical="top" wrapText="1"/>
    </xf>
    <xf numFmtId="0" fontId="40" fillId="0" borderId="11" xfId="0" applyNumberFormat="1" applyFont="1" applyFill="1" applyBorder="1" applyAlignment="1">
      <alignment horizontal="center" wrapText="1"/>
    </xf>
    <xf numFmtId="1" fontId="40" fillId="0" borderId="11" xfId="0" applyNumberFormat="1" applyFont="1" applyFill="1" applyBorder="1" applyAlignment="1">
      <alignment horizontal="center" wrapText="1"/>
    </xf>
    <xf numFmtId="49" fontId="40" fillId="0" borderId="0" xfId="0" applyNumberFormat="1" applyFont="1" applyFill="1" applyBorder="1" applyAlignment="1">
      <alignment horizontal="center" vertical="top"/>
    </xf>
    <xf numFmtId="0" fontId="33" fillId="0" borderId="0" xfId="0" applyFont="1" applyAlignment="1">
      <alignment horizontal="left" vertical="top" wrapText="1"/>
    </xf>
    <xf numFmtId="0" fontId="37" fillId="0" borderId="0" xfId="0" applyFont="1" applyAlignment="1">
      <alignment horizontal="left" vertical="top"/>
    </xf>
    <xf numFmtId="0" fontId="37" fillId="0" borderId="0" xfId="0" applyFont="1" applyFill="1" applyBorder="1" applyAlignment="1">
      <alignment horizontal="justify" vertical="top" wrapText="1"/>
    </xf>
    <xf numFmtId="0" fontId="37" fillId="0" borderId="0" xfId="0" applyFont="1" applyFill="1" applyBorder="1" applyAlignment="1">
      <alignment horizontal="left" vertical="top" wrapText="1"/>
    </xf>
    <xf numFmtId="0" fontId="101" fillId="0" borderId="0" xfId="0" applyFont="1" applyBorder="1" applyAlignment="1">
      <alignment horizontal="left" wrapText="1"/>
    </xf>
    <xf numFmtId="0" fontId="101" fillId="0" borderId="0" xfId="0" applyFont="1" applyBorder="1" applyAlignment="1">
      <alignment horizontal="center"/>
    </xf>
    <xf numFmtId="0" fontId="101" fillId="0" borderId="0" xfId="0" applyNumberFormat="1" applyFont="1" applyBorder="1" applyAlignment="1">
      <alignment horizontal="center"/>
    </xf>
    <xf numFmtId="1" fontId="36" fillId="0" borderId="0" xfId="0" applyNumberFormat="1" applyFont="1" applyFill="1" applyBorder="1" applyAlignment="1">
      <alignment horizontal="center" vertical="top"/>
    </xf>
    <xf numFmtId="0" fontId="37" fillId="0" borderId="0" xfId="0" applyFont="1" applyAlignment="1">
      <alignment wrapText="1"/>
    </xf>
    <xf numFmtId="0" fontId="101" fillId="0" borderId="0" xfId="0" applyFont="1"/>
    <xf numFmtId="0" fontId="101" fillId="0" borderId="0" xfId="0" applyFont="1" applyBorder="1" applyAlignment="1">
      <alignment wrapText="1"/>
    </xf>
    <xf numFmtId="0" fontId="101" fillId="0" borderId="0" xfId="0" applyFont="1" applyBorder="1" applyAlignment="1">
      <alignment horizontal="left"/>
    </xf>
    <xf numFmtId="0" fontId="101" fillId="0" borderId="11" xfId="0" applyNumberFormat="1" applyFont="1" applyBorder="1" applyAlignment="1">
      <alignment horizontal="center"/>
    </xf>
    <xf numFmtId="0" fontId="101" fillId="0" borderId="16" xfId="0" applyFont="1" applyBorder="1" applyAlignment="1">
      <alignment horizontal="left"/>
    </xf>
    <xf numFmtId="0" fontId="101" fillId="0" borderId="16" xfId="0" applyFont="1" applyBorder="1" applyAlignment="1">
      <alignment horizontal="center"/>
    </xf>
    <xf numFmtId="0" fontId="37" fillId="0" borderId="52" xfId="0" applyFont="1" applyBorder="1" applyAlignment="1" applyProtection="1">
      <alignment horizontal="left" vertical="center" wrapText="1"/>
      <protection locked="0"/>
    </xf>
    <xf numFmtId="0" fontId="40" fillId="0" borderId="11" xfId="0" applyFont="1" applyBorder="1" applyAlignment="1">
      <alignment horizontal="center" vertical="top" wrapText="1"/>
    </xf>
    <xf numFmtId="0" fontId="40" fillId="0" borderId="11" xfId="0" applyFont="1" applyBorder="1" applyAlignment="1">
      <alignment vertical="top" wrapText="1"/>
    </xf>
    <xf numFmtId="1" fontId="37" fillId="0" borderId="11" xfId="585" applyNumberFormat="1" applyFont="1" applyBorder="1" applyAlignment="1">
      <alignment horizontal="center"/>
    </xf>
    <xf numFmtId="1" fontId="37" fillId="0" borderId="0" xfId="585" applyNumberFormat="1" applyFont="1" applyAlignment="1">
      <alignment horizontal="center"/>
    </xf>
    <xf numFmtId="0" fontId="40" fillId="0" borderId="0" xfId="0" applyFont="1" applyBorder="1" applyAlignment="1">
      <alignment horizontal="center" vertical="top" wrapText="1"/>
    </xf>
    <xf numFmtId="49" fontId="36" fillId="0" borderId="0" xfId="0" applyNumberFormat="1" applyFont="1" applyFill="1" applyBorder="1" applyAlignment="1">
      <alignment horizontal="center" vertical="top"/>
    </xf>
    <xf numFmtId="0" fontId="36" fillId="0" borderId="0" xfId="0" applyFont="1" applyAlignment="1">
      <alignment horizontal="left" vertical="top" wrapText="1"/>
    </xf>
    <xf numFmtId="4" fontId="37" fillId="0" borderId="0" xfId="0" applyNumberFormat="1" applyFont="1" applyFill="1" applyBorder="1" applyAlignment="1">
      <alignment horizontal="center"/>
    </xf>
    <xf numFmtId="0" fontId="36" fillId="0" borderId="0" xfId="0" applyFont="1" applyAlignment="1">
      <alignment vertical="top" wrapText="1"/>
    </xf>
    <xf numFmtId="1" fontId="37" fillId="0" borderId="0" xfId="277" applyNumberFormat="1" applyFont="1" applyFill="1" applyAlignment="1">
      <alignment horizontal="center"/>
    </xf>
    <xf numFmtId="0" fontId="36" fillId="0" borderId="0" xfId="0" applyNumberFormat="1" applyFont="1" applyFill="1" applyAlignment="1"/>
    <xf numFmtId="4" fontId="37" fillId="0" borderId="0" xfId="0" applyNumberFormat="1" applyFont="1" applyFill="1" applyBorder="1" applyAlignment="1">
      <alignment vertical="top" wrapText="1"/>
    </xf>
    <xf numFmtId="49" fontId="36" fillId="0" borderId="0" xfId="0" applyNumberFormat="1" applyFont="1" applyFill="1" applyAlignment="1">
      <alignment wrapText="1"/>
    </xf>
    <xf numFmtId="0" fontId="37" fillId="0" borderId="0" xfId="0" applyNumberFormat="1" applyFont="1" applyFill="1" applyAlignment="1">
      <alignment vertical="top" wrapText="1"/>
    </xf>
    <xf numFmtId="0" fontId="36" fillId="0" borderId="0" xfId="0" applyNumberFormat="1" applyFont="1" applyFill="1" applyAlignment="1">
      <alignment horizontal="left" wrapText="1"/>
    </xf>
    <xf numFmtId="0" fontId="36" fillId="0" borderId="0" xfId="0" applyNumberFormat="1" applyFont="1" applyFill="1" applyAlignment="1">
      <alignment wrapText="1"/>
    </xf>
    <xf numFmtId="0" fontId="37" fillId="0" borderId="0" xfId="0" applyFont="1" applyFill="1" applyAlignment="1">
      <alignment horizontal="center"/>
    </xf>
    <xf numFmtId="0" fontId="36" fillId="0" borderId="0" xfId="0" applyNumberFormat="1" applyFont="1" applyFill="1" applyAlignment="1">
      <alignment vertical="top" wrapText="1"/>
    </xf>
    <xf numFmtId="0" fontId="37" fillId="0" borderId="0" xfId="0" applyNumberFormat="1" applyFont="1" applyAlignment="1">
      <alignment horizontal="center" wrapText="1"/>
    </xf>
    <xf numFmtId="0" fontId="37" fillId="0" borderId="0" xfId="277" applyFont="1" applyAlignment="1">
      <alignment horizontal="center"/>
    </xf>
    <xf numFmtId="49" fontId="36" fillId="0" borderId="0" xfId="0" applyNumberFormat="1" applyFont="1" applyFill="1" applyAlignment="1">
      <alignment vertical="top" wrapText="1"/>
    </xf>
    <xf numFmtId="49" fontId="37" fillId="0" borderId="0" xfId="0" applyNumberFormat="1" applyFont="1" applyFill="1" applyAlignment="1">
      <alignment vertical="top" wrapText="1"/>
    </xf>
    <xf numFmtId="0" fontId="37" fillId="0" borderId="0" xfId="0" applyFont="1" applyFill="1" applyBorder="1" applyAlignment="1">
      <alignment vertical="top" wrapText="1"/>
    </xf>
    <xf numFmtId="0" fontId="36" fillId="0" borderId="0" xfId="0" applyFont="1" applyAlignment="1">
      <alignment wrapText="1"/>
    </xf>
    <xf numFmtId="0" fontId="37" fillId="0" borderId="0" xfId="0" applyFont="1"/>
    <xf numFmtId="0" fontId="37" fillId="0" borderId="0" xfId="0" applyFont="1" applyAlignment="1">
      <alignment horizontal="center" vertical="center"/>
    </xf>
    <xf numFmtId="4" fontId="37" fillId="0" borderId="0" xfId="0" applyNumberFormat="1" applyFont="1" applyAlignment="1">
      <alignment horizontal="center" vertical="center"/>
    </xf>
    <xf numFmtId="49" fontId="36" fillId="0" borderId="0" xfId="0" applyNumberFormat="1" applyFont="1" applyFill="1" applyAlignment="1">
      <alignment horizontal="left" vertical="top" wrapText="1"/>
    </xf>
    <xf numFmtId="4" fontId="37" fillId="0" borderId="0" xfId="583" applyNumberFormat="1" applyFont="1" applyBorder="1" applyAlignment="1">
      <alignment horizontal="center"/>
    </xf>
    <xf numFmtId="0" fontId="36" fillId="0" borderId="0" xfId="0" applyNumberFormat="1" applyFont="1" applyFill="1" applyAlignment="1">
      <alignment horizontal="left"/>
    </xf>
    <xf numFmtId="0" fontId="36" fillId="0" borderId="0" xfId="0" applyFont="1" applyBorder="1" applyAlignment="1">
      <alignment wrapText="1"/>
    </xf>
    <xf numFmtId="0" fontId="50" fillId="0" borderId="11" xfId="0" applyFont="1" applyBorder="1" applyAlignment="1">
      <alignment vertical="top" wrapText="1"/>
    </xf>
    <xf numFmtId="0" fontId="36" fillId="0" borderId="15" xfId="0" applyFont="1" applyFill="1" applyBorder="1" applyAlignment="1">
      <alignment horizontal="left" vertical="top" wrapText="1"/>
    </xf>
    <xf numFmtId="1" fontId="37" fillId="0" borderId="15" xfId="585" applyNumberFormat="1" applyFont="1" applyBorder="1" applyAlignment="1">
      <alignment horizontal="center"/>
    </xf>
    <xf numFmtId="4" fontId="37" fillId="0" borderId="15" xfId="0" applyNumberFormat="1" applyFont="1" applyBorder="1" applyAlignment="1"/>
    <xf numFmtId="0" fontId="37" fillId="0" borderId="0" xfId="585" applyFont="1" applyAlignment="1">
      <alignment horizontal="center" vertical="top"/>
    </xf>
    <xf numFmtId="0" fontId="36" fillId="0" borderId="0" xfId="585" applyNumberFormat="1" applyFont="1" applyAlignment="1">
      <alignment horizontal="left" vertical="top" wrapText="1"/>
    </xf>
    <xf numFmtId="0" fontId="37" fillId="0" borderId="0" xfId="585" applyNumberFormat="1" applyFont="1" applyAlignment="1">
      <alignment horizontal="left" vertical="top" wrapText="1"/>
    </xf>
    <xf numFmtId="170" fontId="37" fillId="0" borderId="0" xfId="0" applyNumberFormat="1" applyFont="1" applyFill="1" applyBorder="1" applyAlignment="1">
      <alignment horizontal="center" vertical="top"/>
    </xf>
    <xf numFmtId="0" fontId="37" fillId="0" borderId="0" xfId="0" applyFont="1" applyBorder="1" applyAlignment="1">
      <alignment vertical="top"/>
    </xf>
    <xf numFmtId="0" fontId="37" fillId="0" borderId="0" xfId="0" applyFont="1" applyFill="1" applyBorder="1" applyAlignment="1">
      <alignment horizontal="center"/>
    </xf>
    <xf numFmtId="0" fontId="37" fillId="0" borderId="0" xfId="585" applyFont="1" applyBorder="1" applyAlignment="1">
      <alignment horizontal="center" vertical="top"/>
    </xf>
    <xf numFmtId="0" fontId="37" fillId="0" borderId="0" xfId="585" applyNumberFormat="1" applyFont="1" applyBorder="1" applyAlignment="1">
      <alignment horizontal="left" vertical="top" wrapText="1"/>
    </xf>
    <xf numFmtId="0" fontId="37" fillId="0" borderId="0" xfId="585" applyFont="1" applyBorder="1" applyAlignment="1">
      <alignment horizontal="center"/>
    </xf>
    <xf numFmtId="1" fontId="37" fillId="0" borderId="0" xfId="585" applyNumberFormat="1" applyFont="1" applyBorder="1" applyAlignment="1">
      <alignment horizontal="center"/>
    </xf>
    <xf numFmtId="0" fontId="37" fillId="0" borderId="11" xfId="585" applyFont="1" applyBorder="1" applyAlignment="1">
      <alignment horizontal="center" vertical="top"/>
    </xf>
    <xf numFmtId="0" fontId="37" fillId="0" borderId="11" xfId="585" applyNumberFormat="1" applyFont="1" applyBorder="1" applyAlignment="1">
      <alignment horizontal="left" vertical="top" wrapText="1"/>
    </xf>
    <xf numFmtId="1" fontId="37" fillId="0" borderId="11" xfId="0" applyNumberFormat="1" applyFont="1" applyBorder="1" applyAlignment="1">
      <alignment horizontal="center"/>
    </xf>
    <xf numFmtId="0" fontId="37" fillId="0" borderId="0" xfId="0" applyFont="1" applyFill="1" applyBorder="1" applyAlignment="1">
      <alignment horizontal="center" vertical="top"/>
    </xf>
    <xf numFmtId="1" fontId="37" fillId="0" borderId="11" xfId="0" applyNumberFormat="1" applyFont="1" applyFill="1" applyBorder="1" applyAlignment="1">
      <alignment horizontal="center" vertical="top"/>
    </xf>
    <xf numFmtId="0" fontId="37" fillId="0" borderId="11" xfId="583" applyFont="1" applyBorder="1" applyAlignment="1">
      <alignment vertical="top" wrapText="1"/>
    </xf>
    <xf numFmtId="1" fontId="37" fillId="0" borderId="11" xfId="583" applyNumberFormat="1" applyFont="1" applyBorder="1" applyAlignment="1">
      <alignment horizontal="center"/>
    </xf>
    <xf numFmtId="1" fontId="40" fillId="0" borderId="0" xfId="0" applyNumberFormat="1" applyFont="1" applyFill="1" applyBorder="1" applyAlignment="1">
      <alignment horizontal="center" vertical="top" wrapText="1"/>
    </xf>
    <xf numFmtId="0" fontId="37" fillId="0" borderId="16" xfId="0" applyFont="1" applyBorder="1" applyAlignment="1">
      <alignment vertical="top" wrapText="1"/>
    </xf>
    <xf numFmtId="1" fontId="37" fillId="0" borderId="0" xfId="0" applyNumberFormat="1" applyFont="1" applyFill="1" applyBorder="1" applyAlignment="1">
      <alignment horizontal="center" wrapText="1"/>
    </xf>
    <xf numFmtId="0" fontId="36" fillId="0" borderId="0" xfId="0" applyFont="1" applyFill="1" applyBorder="1" applyAlignment="1">
      <alignment horizontal="left" vertical="top" wrapText="1"/>
    </xf>
    <xf numFmtId="0" fontId="95" fillId="0" borderId="0" xfId="0" applyFont="1" applyAlignment="1">
      <alignment horizontal="justify" vertical="top" wrapText="1"/>
    </xf>
    <xf numFmtId="166" fontId="94" fillId="0" borderId="0" xfId="0" applyNumberFormat="1" applyFont="1" applyFill="1" applyBorder="1" applyAlignment="1">
      <alignment horizontal="left" vertical="top" wrapText="1"/>
    </xf>
    <xf numFmtId="49" fontId="52" fillId="0" borderId="0" xfId="0" applyNumberFormat="1" applyFont="1" applyFill="1" applyAlignment="1">
      <alignment horizontal="center" vertical="top"/>
    </xf>
    <xf numFmtId="0" fontId="52" fillId="0" borderId="0" xfId="0" applyNumberFormat="1" applyFont="1" applyFill="1" applyAlignment="1" applyProtection="1">
      <alignment horizontal="left" vertical="center" wrapText="1"/>
      <protection locked="0"/>
    </xf>
    <xf numFmtId="0" fontId="52" fillId="0" borderId="0" xfId="0" applyNumberFormat="1" applyFont="1" applyFill="1" applyAlignment="1" applyProtection="1">
      <alignment horizontal="center" vertical="center" wrapText="1"/>
      <protection locked="0"/>
    </xf>
    <xf numFmtId="2" fontId="52" fillId="0" borderId="0" xfId="0" applyNumberFormat="1" applyFont="1" applyFill="1" applyAlignment="1">
      <alignment horizontal="center"/>
    </xf>
    <xf numFmtId="0" fontId="52" fillId="0" borderId="0" xfId="0" applyFont="1" applyFill="1"/>
    <xf numFmtId="49" fontId="52" fillId="0" borderId="0" xfId="0" applyNumberFormat="1" applyFont="1" applyFill="1" applyAlignment="1">
      <alignment horizontal="center" vertical="center"/>
    </xf>
    <xf numFmtId="0" fontId="52" fillId="0" borderId="0" xfId="0" applyFont="1" applyFill="1" applyAlignment="1">
      <alignment horizontal="left" vertical="center" wrapText="1"/>
    </xf>
    <xf numFmtId="0" fontId="52" fillId="0" borderId="0" xfId="0" applyFont="1" applyFill="1" applyAlignment="1">
      <alignment horizontal="center" vertical="center" wrapText="1"/>
    </xf>
    <xf numFmtId="0" fontId="52" fillId="0" borderId="0" xfId="0" applyFont="1" applyFill="1" applyAlignment="1">
      <alignment horizontal="center" vertical="top"/>
    </xf>
    <xf numFmtId="0" fontId="52" fillId="0" borderId="0" xfId="0" applyFont="1" applyFill="1" applyAlignment="1">
      <alignment horizontal="justify"/>
    </xf>
    <xf numFmtId="0" fontId="52" fillId="0" borderId="0" xfId="0" applyFont="1" applyFill="1" applyAlignment="1">
      <alignment horizontal="center"/>
    </xf>
    <xf numFmtId="0" fontId="4" fillId="0" borderId="0" xfId="0" applyFont="1" applyFill="1"/>
    <xf numFmtId="0" fontId="4" fillId="0" borderId="0" xfId="0" applyFont="1" applyFill="1" applyAlignment="1">
      <alignment horizontal="center" vertical="top"/>
    </xf>
    <xf numFmtId="0" fontId="4" fillId="0" borderId="0" xfId="0" applyFont="1" applyAlignment="1">
      <alignment horizontal="left" vertical="center" wrapText="1"/>
    </xf>
    <xf numFmtId="0" fontId="4" fillId="0" borderId="0" xfId="0" applyFont="1" applyFill="1" applyAlignment="1">
      <alignment horizontal="justify"/>
    </xf>
    <xf numFmtId="4" fontId="4" fillId="0" borderId="0" xfId="0" applyNumberFormat="1" applyFont="1" applyFill="1" applyAlignment="1">
      <alignment horizontal="right"/>
    </xf>
    <xf numFmtId="0" fontId="4" fillId="0" borderId="0" xfId="0" applyFont="1" applyFill="1" applyAlignment="1">
      <alignment horizontal="left" vertical="center" wrapText="1"/>
    </xf>
    <xf numFmtId="0" fontId="52" fillId="0" borderId="0" xfId="0" applyFont="1" applyFill="1" applyAlignment="1">
      <alignment horizontal="left" indent="1"/>
    </xf>
    <xf numFmtId="0" fontId="52" fillId="0" borderId="0" xfId="0" applyFont="1" applyAlignment="1">
      <alignment horizontal="center"/>
    </xf>
    <xf numFmtId="0" fontId="52" fillId="0" borderId="0" xfId="0" applyFont="1" applyAlignment="1">
      <alignment horizontal="left" indent="1"/>
    </xf>
    <xf numFmtId="49" fontId="4" fillId="0" borderId="0" xfId="0" applyNumberFormat="1" applyFont="1" applyFill="1" applyAlignment="1">
      <alignment horizontal="center" vertical="top"/>
    </xf>
    <xf numFmtId="49" fontId="52" fillId="0" borderId="57" xfId="0" applyNumberFormat="1" applyFont="1" applyFill="1" applyBorder="1" applyAlignment="1">
      <alignment horizontal="center"/>
    </xf>
    <xf numFmtId="0" fontId="52" fillId="0" borderId="57" xfId="0" applyFont="1" applyFill="1" applyBorder="1" applyAlignment="1">
      <alignment horizontal="left" vertical="center" wrapText="1"/>
    </xf>
    <xf numFmtId="0" fontId="52" fillId="0" borderId="57" xfId="0" applyFont="1" applyFill="1" applyBorder="1" applyAlignment="1">
      <alignment horizontal="center"/>
    </xf>
    <xf numFmtId="0" fontId="4" fillId="0" borderId="0" xfId="0" applyFont="1" applyFill="1" applyBorder="1"/>
    <xf numFmtId="49" fontId="52" fillId="0" borderId="0" xfId="0" applyNumberFormat="1" applyFont="1" applyFill="1" applyBorder="1" applyAlignment="1">
      <alignment horizontal="center"/>
    </xf>
    <xf numFmtId="0" fontId="52" fillId="0" borderId="0" xfId="0" applyFont="1" applyFill="1" applyBorder="1" applyAlignment="1">
      <alignment horizontal="left" vertical="center" wrapText="1"/>
    </xf>
    <xf numFmtId="0" fontId="4" fillId="0" borderId="0" xfId="0" applyFont="1" applyFill="1" applyAlignment="1">
      <alignment horizontal="justify" vertical="top" wrapText="1"/>
    </xf>
    <xf numFmtId="0" fontId="52" fillId="0" borderId="0" xfId="0" applyFont="1"/>
    <xf numFmtId="0" fontId="2" fillId="0" borderId="0" xfId="188" applyFont="1" applyAlignment="1">
      <alignment horizontal="left" vertical="top" wrapText="1"/>
    </xf>
    <xf numFmtId="0" fontId="21" fillId="0" borderId="0" xfId="188" applyFont="1" applyAlignment="1">
      <alignment horizontal="left" vertical="top" wrapText="1"/>
    </xf>
    <xf numFmtId="49" fontId="4" fillId="0" borderId="55" xfId="0" applyNumberFormat="1" applyFont="1" applyFill="1" applyBorder="1" applyAlignment="1">
      <alignment horizontal="center" vertical="top"/>
    </xf>
    <xf numFmtId="0" fontId="52" fillId="0" borderId="55" xfId="0" applyFont="1" applyFill="1" applyBorder="1" applyAlignment="1">
      <alignment horizontal="left" vertical="top" wrapText="1"/>
    </xf>
    <xf numFmtId="49" fontId="0" fillId="0" borderId="0" xfId="0" applyNumberFormat="1" applyFont="1" applyFill="1" applyBorder="1" applyAlignment="1">
      <alignment horizontal="center" vertical="top"/>
    </xf>
    <xf numFmtId="0" fontId="4" fillId="0" borderId="0" xfId="0" applyFont="1" applyAlignment="1">
      <alignment horizontal="left" vertical="top" wrapText="1"/>
    </xf>
    <xf numFmtId="2" fontId="49" fillId="0" borderId="0" xfId="0" applyNumberFormat="1" applyFont="1" applyFill="1" applyBorder="1" applyAlignment="1">
      <alignment horizontal="right" vertical="top"/>
    </xf>
    <xf numFmtId="0" fontId="49" fillId="0" borderId="0" xfId="0" applyFont="1" applyFill="1" applyBorder="1"/>
    <xf numFmtId="0" fontId="4" fillId="0" borderId="0" xfId="0" applyFont="1" applyAlignment="1">
      <alignment wrapText="1"/>
    </xf>
    <xf numFmtId="0" fontId="4" fillId="0" borderId="0" xfId="0" applyFont="1"/>
    <xf numFmtId="2" fontId="49" fillId="0" borderId="0" xfId="0" applyNumberFormat="1" applyFont="1" applyFill="1" applyBorder="1" applyAlignment="1">
      <alignment horizontal="center" vertical="center" wrapText="1"/>
    </xf>
    <xf numFmtId="0" fontId="60" fillId="0" borderId="0" xfId="0" applyFont="1" applyFill="1" applyBorder="1" applyAlignment="1">
      <alignment horizontal="justify" vertical="top"/>
    </xf>
    <xf numFmtId="0" fontId="0" fillId="0" borderId="0" xfId="0" applyFont="1" applyFill="1" applyBorder="1" applyAlignment="1">
      <alignment vertical="top" wrapText="1"/>
    </xf>
    <xf numFmtId="0" fontId="60" fillId="0" borderId="0" xfId="0" applyFont="1" applyFill="1" applyBorder="1"/>
    <xf numFmtId="0" fontId="0" fillId="0" borderId="0" xfId="0" applyFont="1" applyFill="1" applyBorder="1" applyAlignment="1">
      <alignment horizontal="center" vertical="top"/>
    </xf>
    <xf numFmtId="0" fontId="49" fillId="0" borderId="0" xfId="0" applyFont="1" applyFill="1" applyBorder="1" applyAlignment="1">
      <alignment horizontal="center"/>
    </xf>
    <xf numFmtId="0" fontId="0" fillId="0" borderId="0" xfId="0" applyFont="1" applyFill="1" applyBorder="1"/>
    <xf numFmtId="0" fontId="49" fillId="0" borderId="0" xfId="0" applyFont="1" applyFill="1" applyAlignment="1">
      <alignment horizontal="center"/>
    </xf>
    <xf numFmtId="0" fontId="49" fillId="0" borderId="0" xfId="0" applyFont="1" applyFill="1"/>
    <xf numFmtId="0" fontId="4" fillId="0" borderId="0" xfId="0" applyFont="1" applyFill="1" applyBorder="1" applyAlignment="1">
      <alignment vertical="top" wrapText="1"/>
    </xf>
    <xf numFmtId="0" fontId="4" fillId="0" borderId="0" xfId="0" applyNumberFormat="1" applyFont="1" applyFill="1" applyBorder="1" applyAlignment="1" applyProtection="1">
      <alignment vertical="top" wrapText="1"/>
      <protection locked="0"/>
    </xf>
    <xf numFmtId="1" fontId="109" fillId="0" borderId="0" xfId="0" applyNumberFormat="1" applyFont="1" applyFill="1" applyBorder="1" applyAlignment="1">
      <alignment horizontal="center"/>
    </xf>
    <xf numFmtId="0" fontId="60" fillId="0" borderId="0" xfId="0" applyNumberFormat="1" applyFont="1" applyFill="1" applyBorder="1" applyAlignment="1" applyProtection="1">
      <alignment horizontal="justify" vertical="center" wrapText="1"/>
      <protection locked="0"/>
    </xf>
    <xf numFmtId="0" fontId="0" fillId="0" borderId="0" xfId="0" applyFont="1" applyBorder="1" applyAlignment="1">
      <alignment horizontal="left" vertical="top" wrapText="1"/>
    </xf>
    <xf numFmtId="0" fontId="0" fillId="0" borderId="0" xfId="0" applyFont="1" applyBorder="1"/>
    <xf numFmtId="0" fontId="0" fillId="0" borderId="0" xfId="0" applyFont="1" applyBorder="1" applyAlignment="1">
      <alignment horizontal="left" vertical="top"/>
    </xf>
    <xf numFmtId="0" fontId="0" fillId="0" borderId="0" xfId="0" applyNumberFormat="1" applyFill="1" applyBorder="1" applyAlignment="1" applyProtection="1">
      <alignment horizontal="justify" vertical="center" wrapText="1"/>
      <protection locked="0"/>
    </xf>
    <xf numFmtId="0" fontId="0" fillId="0" borderId="0" xfId="0" applyFont="1" applyBorder="1" applyAlignment="1">
      <alignment horizontal="justify" vertical="top" wrapText="1"/>
    </xf>
    <xf numFmtId="2" fontId="49" fillId="0" borderId="0" xfId="586" applyNumberFormat="1" applyFont="1" applyFill="1" applyBorder="1" applyAlignment="1" applyProtection="1">
      <alignment horizontal="center"/>
    </xf>
    <xf numFmtId="0" fontId="0" fillId="0" borderId="0" xfId="0" applyFont="1" applyFill="1" applyBorder="1" applyAlignment="1">
      <alignment horizontal="justify" vertical="top" wrapText="1"/>
    </xf>
    <xf numFmtId="49" fontId="49" fillId="0" borderId="0" xfId="0" applyNumberFormat="1" applyFont="1" applyFill="1" applyBorder="1" applyAlignment="1">
      <alignment horizontal="center" vertical="center"/>
    </xf>
    <xf numFmtId="0" fontId="49" fillId="0" borderId="59" xfId="0" applyFont="1" applyFill="1" applyBorder="1"/>
    <xf numFmtId="0" fontId="49" fillId="0" borderId="60" xfId="0" applyFont="1" applyFill="1" applyBorder="1"/>
    <xf numFmtId="2" fontId="49" fillId="0" borderId="60" xfId="0" applyNumberFormat="1" applyFont="1" applyFill="1" applyBorder="1"/>
    <xf numFmtId="0" fontId="49" fillId="0" borderId="58" xfId="0" applyFont="1" applyFill="1" applyBorder="1"/>
    <xf numFmtId="0" fontId="49" fillId="29" borderId="59" xfId="0" applyFont="1" applyFill="1" applyBorder="1"/>
    <xf numFmtId="0" fontId="49" fillId="29" borderId="60" xfId="0" applyFont="1" applyFill="1" applyBorder="1"/>
    <xf numFmtId="2" fontId="49" fillId="0" borderId="60" xfId="377" applyNumberFormat="1" applyFont="1" applyFill="1" applyBorder="1" applyAlignment="1" applyProtection="1">
      <alignment vertical="center"/>
    </xf>
    <xf numFmtId="0" fontId="41" fillId="0" borderId="0" xfId="377" applyFont="1" applyFill="1" applyAlignment="1" applyProtection="1">
      <alignment horizontal="justify"/>
    </xf>
    <xf numFmtId="4" fontId="40" fillId="0" borderId="0" xfId="0" applyNumberFormat="1" applyFont="1" applyFill="1" applyBorder="1" applyAlignment="1">
      <alignment horizontal="center"/>
    </xf>
    <xf numFmtId="0" fontId="33" fillId="34" borderId="13" xfId="0" applyFont="1" applyFill="1" applyBorder="1" applyAlignment="1" applyProtection="1">
      <alignment horizontal="center" vertical="center"/>
    </xf>
    <xf numFmtId="0" fontId="39" fillId="34" borderId="12" xfId="0" applyFont="1" applyFill="1" applyBorder="1" applyAlignment="1" applyProtection="1">
      <alignment horizontal="center" vertical="center"/>
    </xf>
    <xf numFmtId="0" fontId="39" fillId="34" borderId="12" xfId="0" applyFont="1" applyFill="1" applyBorder="1" applyAlignment="1" applyProtection="1">
      <alignment horizontal="center" vertical="center" wrapText="1"/>
    </xf>
    <xf numFmtId="3" fontId="39" fillId="34" borderId="12" xfId="0" applyNumberFormat="1" applyFont="1" applyFill="1" applyBorder="1" applyAlignment="1" applyProtection="1">
      <alignment horizontal="center" vertical="center"/>
    </xf>
    <xf numFmtId="4" fontId="39" fillId="34" borderId="12" xfId="0" applyNumberFormat="1" applyFont="1" applyFill="1" applyBorder="1" applyAlignment="1" applyProtection="1">
      <alignment horizontal="center" vertical="center"/>
    </xf>
    <xf numFmtId="4" fontId="39" fillId="34" borderId="14" xfId="0" applyNumberFormat="1" applyFont="1" applyFill="1" applyBorder="1" applyAlignment="1" applyProtection="1">
      <alignment horizontal="center" vertical="center"/>
    </xf>
    <xf numFmtId="0" fontId="33" fillId="34" borderId="13" xfId="0" applyFont="1" applyFill="1" applyBorder="1" applyAlignment="1" applyProtection="1">
      <alignment horizontal="center" vertical="top"/>
    </xf>
    <xf numFmtId="0" fontId="39" fillId="34" borderId="12" xfId="0" applyFont="1" applyFill="1" applyBorder="1" applyAlignment="1" applyProtection="1">
      <alignment horizontal="center" vertical="top"/>
    </xf>
    <xf numFmtId="0" fontId="39" fillId="34" borderId="12" xfId="0" applyFont="1" applyFill="1" applyBorder="1" applyAlignment="1" applyProtection="1">
      <alignment horizontal="center" vertical="top" wrapText="1"/>
    </xf>
    <xf numFmtId="1" fontId="39" fillId="34" borderId="14" xfId="0" applyNumberFormat="1" applyFont="1" applyFill="1" applyBorder="1" applyAlignment="1" applyProtection="1">
      <alignment horizontal="center" vertical="center"/>
    </xf>
    <xf numFmtId="0" fontId="37" fillId="0" borderId="0" xfId="0" applyFont="1" applyBorder="1" applyAlignment="1" applyProtection="1">
      <alignment horizontal="left" vertical="top" wrapText="1"/>
      <protection locked="0"/>
    </xf>
    <xf numFmtId="0" fontId="37" fillId="0" borderId="0" xfId="0" applyFont="1" applyBorder="1" applyAlignment="1" applyProtection="1">
      <alignment horizontal="left" vertical="center" wrapText="1"/>
      <protection locked="0"/>
    </xf>
    <xf numFmtId="1" fontId="36" fillId="34" borderId="52" xfId="0" applyNumberFormat="1" applyFont="1" applyFill="1" applyBorder="1" applyAlignment="1">
      <alignment horizontal="center" vertical="top" wrapText="1"/>
    </xf>
    <xf numFmtId="0" fontId="36" fillId="34" borderId="52" xfId="0" applyFont="1" applyFill="1" applyBorder="1" applyAlignment="1">
      <alignment horizontal="center" vertical="top" wrapText="1"/>
    </xf>
    <xf numFmtId="0" fontId="36" fillId="34" borderId="63" xfId="0" applyFont="1" applyFill="1" applyBorder="1" applyAlignment="1">
      <alignment horizontal="center" vertical="top" wrapText="1"/>
    </xf>
    <xf numFmtId="0" fontId="36" fillId="34" borderId="52" xfId="0" applyNumberFormat="1" applyFont="1" applyFill="1" applyBorder="1" applyAlignment="1">
      <alignment horizontal="center" wrapText="1"/>
    </xf>
    <xf numFmtId="1" fontId="36" fillId="34" borderId="52" xfId="0" applyNumberFormat="1" applyFont="1" applyFill="1" applyBorder="1" applyAlignment="1">
      <alignment horizontal="center"/>
    </xf>
    <xf numFmtId="4" fontId="40" fillId="0" borderId="0" xfId="0" applyNumberFormat="1" applyFont="1" applyFill="1" applyAlignment="1" applyProtection="1">
      <alignment wrapText="1"/>
    </xf>
    <xf numFmtId="4" fontId="33" fillId="0" borderId="11" xfId="0" applyNumberFormat="1" applyFont="1" applyFill="1" applyBorder="1" applyAlignment="1" applyProtection="1">
      <alignment horizontal="right" vertical="center"/>
      <protection locked="0"/>
    </xf>
    <xf numFmtId="4" fontId="33" fillId="0" borderId="11" xfId="0" applyNumberFormat="1" applyFont="1" applyFill="1" applyBorder="1" applyAlignment="1" applyProtection="1">
      <alignment wrapText="1"/>
    </xf>
    <xf numFmtId="4" fontId="49" fillId="0" borderId="58" xfId="0" applyNumberFormat="1" applyFont="1" applyFill="1" applyBorder="1"/>
    <xf numFmtId="4" fontId="49" fillId="29" borderId="58" xfId="0" applyNumberFormat="1" applyFont="1" applyFill="1" applyBorder="1"/>
    <xf numFmtId="4" fontId="49" fillId="0" borderId="0" xfId="0" applyNumberFormat="1" applyFont="1" applyFill="1" applyBorder="1"/>
    <xf numFmtId="0" fontId="40" fillId="0" borderId="0" xfId="0" applyFont="1" applyFill="1" applyBorder="1" applyAlignment="1" applyProtection="1">
      <alignment vertical="top" wrapText="1"/>
    </xf>
    <xf numFmtId="4" fontId="37" fillId="0" borderId="0" xfId="0" applyNumberFormat="1" applyFont="1" applyFill="1" applyBorder="1" applyAlignment="1" applyProtection="1">
      <alignment horizontal="center" wrapText="1"/>
    </xf>
    <xf numFmtId="4" fontId="37" fillId="0" borderId="0" xfId="0" applyNumberFormat="1" applyFont="1" applyFill="1" applyBorder="1" applyAlignment="1" applyProtection="1">
      <alignment wrapText="1"/>
    </xf>
    <xf numFmtId="1" fontId="32" fillId="0" borderId="0" xfId="0" applyNumberFormat="1" applyFont="1" applyFill="1" applyBorder="1" applyAlignment="1" applyProtection="1">
      <alignment horizontal="center" vertical="top" wrapText="1"/>
    </xf>
    <xf numFmtId="166" fontId="94" fillId="0" borderId="0" xfId="0" applyNumberFormat="1" applyFont="1" applyFill="1" applyBorder="1" applyAlignment="1" applyProtection="1">
      <alignment horizontal="left" vertical="top" wrapText="1"/>
    </xf>
    <xf numFmtId="166" fontId="94" fillId="0" borderId="0" xfId="0" applyNumberFormat="1" applyFont="1" applyFill="1" applyBorder="1" applyAlignment="1" applyProtection="1">
      <alignment horizontal="center" wrapText="1"/>
    </xf>
    <xf numFmtId="2" fontId="36" fillId="0" borderId="0" xfId="0" applyNumberFormat="1" applyFont="1" applyFill="1" applyBorder="1" applyAlignment="1" applyProtection="1">
      <alignment horizontal="center" wrapText="1"/>
    </xf>
    <xf numFmtId="4" fontId="36" fillId="0" borderId="0" xfId="0" applyNumberFormat="1" applyFont="1" applyFill="1" applyBorder="1" applyAlignment="1" applyProtection="1">
      <alignment horizontal="center" wrapText="1"/>
    </xf>
    <xf numFmtId="4" fontId="36" fillId="0" borderId="0" xfId="0" applyNumberFormat="1" applyFont="1" applyFill="1" applyBorder="1" applyAlignment="1" applyProtection="1">
      <alignment wrapText="1"/>
    </xf>
    <xf numFmtId="1" fontId="40" fillId="0" borderId="0" xfId="0" applyNumberFormat="1" applyFont="1" applyFill="1" applyBorder="1" applyAlignment="1" applyProtection="1">
      <alignment horizontal="center" vertical="top"/>
    </xf>
    <xf numFmtId="0" fontId="40" fillId="0" borderId="0" xfId="0" applyFont="1" applyFill="1" applyBorder="1" applyAlignment="1" applyProtection="1">
      <alignment horizontal="center" vertical="top" wrapText="1"/>
    </xf>
    <xf numFmtId="0" fontId="40" fillId="0" borderId="0" xfId="0" applyNumberFormat="1" applyFont="1" applyFill="1" applyBorder="1" applyAlignment="1" applyProtection="1">
      <alignment horizontal="center"/>
    </xf>
    <xf numFmtId="2" fontId="37" fillId="0" borderId="0" xfId="0" applyNumberFormat="1" applyFont="1" applyFill="1" applyBorder="1" applyAlignment="1" applyProtection="1">
      <alignment horizontal="center"/>
    </xf>
    <xf numFmtId="4" fontId="37" fillId="0" borderId="0" xfId="0" applyNumberFormat="1" applyFont="1" applyFill="1" applyBorder="1" applyAlignment="1" applyProtection="1">
      <alignment horizontal="center"/>
    </xf>
    <xf numFmtId="0" fontId="40" fillId="0" borderId="0" xfId="0" applyFont="1" applyFill="1" applyBorder="1" applyAlignment="1" applyProtection="1">
      <alignment horizontal="justify" vertical="top" wrapText="1"/>
    </xf>
    <xf numFmtId="0" fontId="40" fillId="0" borderId="0" xfId="0" applyFont="1" applyFill="1" applyBorder="1" applyAlignment="1" applyProtection="1">
      <alignment horizontal="right" vertical="top" wrapText="1"/>
    </xf>
    <xf numFmtId="0" fontId="37" fillId="0" borderId="0" xfId="0" applyFont="1" applyAlignment="1" applyProtection="1">
      <alignment horizontal="left"/>
    </xf>
    <xf numFmtId="0" fontId="37" fillId="0" borderId="0" xfId="0" applyFont="1" applyBorder="1" applyAlignment="1" applyProtection="1">
      <alignment horizontal="left"/>
    </xf>
    <xf numFmtId="1" fontId="40" fillId="0" borderId="0" xfId="0" applyNumberFormat="1" applyFont="1" applyBorder="1" applyAlignment="1" applyProtection="1">
      <alignment horizontal="center" vertical="top"/>
    </xf>
    <xf numFmtId="0" fontId="40" fillId="0" borderId="0" xfId="0" applyFont="1" applyFill="1" applyBorder="1" applyAlignment="1" applyProtection="1">
      <alignment vertical="top"/>
    </xf>
    <xf numFmtId="0" fontId="33" fillId="0" borderId="0" xfId="0" applyNumberFormat="1" applyFont="1" applyBorder="1" applyAlignment="1" applyProtection="1">
      <alignment horizontal="center"/>
    </xf>
    <xf numFmtId="0" fontId="40" fillId="0" borderId="0" xfId="0" applyNumberFormat="1" applyFont="1" applyFill="1" applyBorder="1" applyAlignment="1" applyProtection="1">
      <alignment horizontal="center" wrapText="1"/>
    </xf>
    <xf numFmtId="1" fontId="36" fillId="34" borderId="58" xfId="0" applyNumberFormat="1" applyFont="1" applyFill="1" applyBorder="1" applyAlignment="1" applyProtection="1">
      <alignment horizontal="center" vertical="top" wrapText="1"/>
    </xf>
    <xf numFmtId="0" fontId="36" fillId="34" borderId="58" xfId="0" applyFont="1" applyFill="1" applyBorder="1" applyAlignment="1" applyProtection="1">
      <alignment horizontal="center" vertical="top" wrapText="1"/>
    </xf>
    <xf numFmtId="0" fontId="36" fillId="34" borderId="58" xfId="0" applyNumberFormat="1" applyFont="1" applyFill="1" applyBorder="1" applyAlignment="1" applyProtection="1">
      <alignment horizontal="center" wrapText="1"/>
    </xf>
    <xf numFmtId="2" fontId="36" fillId="34" borderId="58" xfId="0" applyNumberFormat="1" applyFont="1" applyFill="1" applyBorder="1" applyAlignment="1" applyProtection="1">
      <alignment horizontal="center" wrapText="1"/>
    </xf>
    <xf numFmtId="4" fontId="36" fillId="34" borderId="58" xfId="0" applyNumberFormat="1" applyFont="1" applyFill="1" applyBorder="1" applyAlignment="1" applyProtection="1">
      <alignment horizontal="center" wrapText="1"/>
    </xf>
    <xf numFmtId="4" fontId="37" fillId="0" borderId="58" xfId="0" applyNumberFormat="1" applyFont="1" applyFill="1" applyBorder="1" applyAlignment="1" applyProtection="1"/>
    <xf numFmtId="0" fontId="36" fillId="0" borderId="0" xfId="0" applyFont="1" applyFill="1" applyBorder="1" applyAlignment="1" applyProtection="1">
      <alignment horizontal="left" vertical="top" wrapText="1"/>
    </xf>
    <xf numFmtId="0" fontId="37" fillId="0" borderId="0" xfId="0" applyNumberFormat="1" applyFont="1" applyFill="1" applyBorder="1" applyAlignment="1" applyProtection="1">
      <alignment horizontal="center" wrapText="1"/>
    </xf>
    <xf numFmtId="0" fontId="37" fillId="0" borderId="0" xfId="0" applyFont="1" applyFill="1" applyBorder="1" applyAlignment="1" applyProtection="1">
      <alignment horizontal="center" vertical="top" wrapText="1"/>
    </xf>
    <xf numFmtId="0" fontId="37" fillId="0" borderId="0" xfId="0" applyFont="1" applyBorder="1" applyAlignment="1" applyProtection="1">
      <alignment vertical="top" wrapText="1"/>
    </xf>
    <xf numFmtId="0" fontId="37" fillId="0" borderId="0" xfId="0" applyFont="1" applyFill="1" applyBorder="1" applyAlignment="1" applyProtection="1">
      <alignment horizontal="right"/>
    </xf>
    <xf numFmtId="0" fontId="36" fillId="0" borderId="0" xfId="0" applyFont="1" applyBorder="1" applyAlignment="1" applyProtection="1">
      <alignment vertical="top" wrapText="1"/>
    </xf>
    <xf numFmtId="0" fontId="37" fillId="0" borderId="0" xfId="0" applyFont="1" applyBorder="1" applyAlignment="1" applyProtection="1">
      <alignment horizontal="center" wrapText="1"/>
    </xf>
    <xf numFmtId="1" fontId="37" fillId="0" borderId="0" xfId="0" applyNumberFormat="1" applyFont="1" applyFill="1" applyBorder="1" applyAlignment="1" applyProtection="1">
      <alignment horizontal="center" wrapText="1"/>
    </xf>
    <xf numFmtId="4" fontId="37" fillId="0" borderId="0" xfId="0" applyNumberFormat="1" applyFont="1" applyFill="1" applyAlignment="1" applyProtection="1"/>
    <xf numFmtId="49" fontId="37" fillId="0" borderId="58" xfId="0" applyNumberFormat="1" applyFont="1" applyFill="1" applyBorder="1" applyAlignment="1" applyProtection="1">
      <alignment horizontal="left" vertical="top" wrapText="1"/>
    </xf>
    <xf numFmtId="49" fontId="37" fillId="0" borderId="0" xfId="0" applyNumberFormat="1" applyFont="1" applyFill="1" applyBorder="1" applyAlignment="1" applyProtection="1">
      <alignment horizontal="left" vertical="top" wrapText="1"/>
    </xf>
    <xf numFmtId="2" fontId="37" fillId="0" borderId="0" xfId="0" applyNumberFormat="1" applyFont="1" applyFill="1" applyBorder="1" applyAlignment="1" applyProtection="1">
      <alignment horizontal="center" wrapText="1"/>
    </xf>
    <xf numFmtId="1" fontId="110" fillId="0" borderId="0" xfId="0" applyNumberFormat="1" applyFont="1" applyFill="1" applyBorder="1" applyAlignment="1" applyProtection="1">
      <alignment horizontal="center" vertical="top"/>
    </xf>
    <xf numFmtId="0" fontId="110" fillId="0" borderId="0" xfId="0" applyFont="1" applyBorder="1" applyAlignment="1" applyProtection="1">
      <alignment horizontal="center" wrapText="1"/>
    </xf>
    <xf numFmtId="1" fontId="110" fillId="0" borderId="0" xfId="0" applyNumberFormat="1" applyFont="1" applyFill="1" applyBorder="1" applyAlignment="1" applyProtection="1">
      <alignment horizontal="center" wrapText="1"/>
    </xf>
    <xf numFmtId="0" fontId="40" fillId="0" borderId="0" xfId="0" applyFont="1" applyBorder="1" applyAlignment="1" applyProtection="1">
      <alignment horizontal="center" vertical="top" wrapText="1"/>
    </xf>
    <xf numFmtId="0" fontId="37" fillId="0" borderId="0" xfId="0" applyFont="1" applyBorder="1" applyAlignment="1" applyProtection="1">
      <alignment horizontal="left" wrapText="1"/>
    </xf>
    <xf numFmtId="0" fontId="37" fillId="0" borderId="0" xfId="0" applyFont="1" applyBorder="1" applyAlignment="1" applyProtection="1">
      <alignment horizontal="center" vertical="top" wrapText="1"/>
    </xf>
    <xf numFmtId="1" fontId="40"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37" fillId="0" borderId="0" xfId="0" applyFont="1" applyBorder="1" applyAlignment="1" applyProtection="1">
      <alignment horizontal="right" wrapText="1"/>
    </xf>
    <xf numFmtId="0" fontId="40" fillId="0" borderId="0" xfId="0" applyFont="1" applyFill="1" applyBorder="1" applyAlignment="1">
      <alignment horizontal="center"/>
    </xf>
    <xf numFmtId="4" fontId="40" fillId="0" borderId="0" xfId="0" applyNumberFormat="1" applyFont="1" applyFill="1" applyAlignment="1">
      <alignment horizontal="center"/>
    </xf>
    <xf numFmtId="4" fontId="40" fillId="0" borderId="0" xfId="0" applyNumberFormat="1" applyFont="1" applyFill="1" applyBorder="1" applyAlignment="1" applyProtection="1">
      <alignment horizontal="center"/>
    </xf>
    <xf numFmtId="4" fontId="3" fillId="0" borderId="0" xfId="377" applyNumberFormat="1" applyFont="1" applyFill="1" applyAlignment="1" applyProtection="1">
      <alignment horizontal="center"/>
    </xf>
    <xf numFmtId="4" fontId="3" fillId="0" borderId="0" xfId="386" applyNumberFormat="1" applyFont="1" applyFill="1" applyBorder="1" applyAlignment="1" applyProtection="1">
      <alignment horizontal="center"/>
      <protection locked="0"/>
    </xf>
    <xf numFmtId="4" fontId="40" fillId="0" borderId="0" xfId="386" applyNumberFormat="1" applyFont="1" applyFill="1" applyBorder="1" applyAlignment="1" applyProtection="1">
      <alignment horizontal="center"/>
      <protection locked="0"/>
    </xf>
    <xf numFmtId="4" fontId="40" fillId="0" borderId="0" xfId="0" applyNumberFormat="1" applyFont="1" applyFill="1" applyBorder="1" applyAlignment="1" applyProtection="1">
      <alignment horizontal="center" vertical="center"/>
      <protection locked="0"/>
    </xf>
    <xf numFmtId="4" fontId="40" fillId="0" borderId="0" xfId="0" applyNumberFormat="1" applyFont="1" applyFill="1" applyBorder="1" applyAlignment="1" applyProtection="1">
      <alignment horizontal="center" vertical="center"/>
    </xf>
    <xf numFmtId="4" fontId="40" fillId="0" borderId="11" xfId="0" applyNumberFormat="1" applyFont="1" applyFill="1" applyBorder="1" applyAlignment="1" applyProtection="1">
      <alignment horizontal="center" vertical="center"/>
    </xf>
    <xf numFmtId="4" fontId="40" fillId="0" borderId="11" xfId="0" applyNumberFormat="1" applyFont="1" applyFill="1" applyBorder="1" applyAlignment="1" applyProtection="1">
      <alignment horizontal="center" vertical="center"/>
      <protection locked="0"/>
    </xf>
    <xf numFmtId="4" fontId="40" fillId="0" borderId="16" xfId="0" applyNumberFormat="1" applyFont="1" applyFill="1" applyBorder="1" applyAlignment="1" applyProtection="1">
      <alignment horizontal="center" vertical="center"/>
    </xf>
    <xf numFmtId="4" fontId="40" fillId="0" borderId="16" xfId="0" applyNumberFormat="1" applyFont="1" applyFill="1" applyBorder="1" applyAlignment="1" applyProtection="1">
      <alignment horizontal="center" vertical="center"/>
      <protection locked="0"/>
    </xf>
    <xf numFmtId="4" fontId="40" fillId="0" borderId="16" xfId="0" applyNumberFormat="1" applyFont="1" applyBorder="1" applyAlignment="1" applyProtection="1">
      <alignment horizontal="center" vertical="center"/>
    </xf>
    <xf numFmtId="4" fontId="40" fillId="0" borderId="16" xfId="0" applyNumberFormat="1" applyFont="1" applyBorder="1" applyAlignment="1" applyProtection="1">
      <alignment horizontal="center" vertical="center"/>
      <protection locked="0"/>
    </xf>
    <xf numFmtId="4" fontId="40" fillId="0" borderId="0" xfId="0" applyNumberFormat="1" applyFont="1" applyBorder="1" applyAlignment="1" applyProtection="1">
      <alignment horizontal="center" vertical="center"/>
      <protection locked="0"/>
    </xf>
    <xf numFmtId="4" fontId="40" fillId="0" borderId="11" xfId="0" applyNumberFormat="1" applyFont="1" applyBorder="1" applyAlignment="1" applyProtection="1">
      <alignment horizontal="center" vertical="center"/>
    </xf>
    <xf numFmtId="4" fontId="40" fillId="0" borderId="11" xfId="0" applyNumberFormat="1" applyFont="1" applyBorder="1" applyAlignment="1" applyProtection="1">
      <alignment horizontal="center" vertical="center"/>
      <protection locked="0"/>
    </xf>
    <xf numFmtId="4" fontId="40" fillId="0" borderId="0" xfId="0" applyNumberFormat="1" applyFont="1" applyAlignment="1" applyProtection="1">
      <alignment horizontal="center" vertical="center"/>
    </xf>
    <xf numFmtId="4" fontId="40" fillId="0" borderId="16" xfId="377" applyNumberFormat="1" applyFont="1" applyBorder="1" applyAlignment="1" applyProtection="1">
      <alignment horizontal="center" vertical="center"/>
    </xf>
    <xf numFmtId="4" fontId="40" fillId="0" borderId="0" xfId="0" applyNumberFormat="1" applyFont="1" applyFill="1" applyAlignment="1">
      <alignment horizontal="center" vertical="top"/>
    </xf>
    <xf numFmtId="4" fontId="40" fillId="0" borderId="0" xfId="0" applyNumberFormat="1" applyFont="1" applyFill="1" applyAlignment="1" applyProtection="1">
      <alignment horizontal="center" wrapText="1"/>
      <protection locked="0"/>
    </xf>
    <xf numFmtId="4" fontId="40" fillId="0" borderId="0" xfId="377" applyNumberFormat="1" applyFont="1" applyBorder="1" applyAlignment="1" applyProtection="1">
      <alignment horizontal="center" vertical="center"/>
    </xf>
    <xf numFmtId="2" fontId="88" fillId="0" borderId="0" xfId="0" applyNumberFormat="1" applyFont="1" applyAlignment="1">
      <alignment horizontal="center" vertical="top" wrapText="1"/>
    </xf>
    <xf numFmtId="4" fontId="88" fillId="0" borderId="0" xfId="0" applyNumberFormat="1" applyFont="1" applyAlignment="1">
      <alignment horizontal="center"/>
    </xf>
    <xf numFmtId="4" fontId="0" fillId="0" borderId="0" xfId="0" applyNumberFormat="1" applyAlignment="1" applyProtection="1">
      <alignment horizontal="center"/>
      <protection locked="0"/>
    </xf>
    <xf numFmtId="0" fontId="3" fillId="0" borderId="0" xfId="0" applyFont="1" applyAlignment="1">
      <alignment horizontal="center"/>
    </xf>
    <xf numFmtId="4" fontId="40" fillId="0" borderId="0" xfId="0" applyNumberFormat="1" applyFont="1" applyFill="1" applyAlignment="1" applyProtection="1">
      <alignment horizontal="center"/>
      <protection locked="0"/>
    </xf>
    <xf numFmtId="4" fontId="40" fillId="0" borderId="0" xfId="0" applyNumberFormat="1" applyFont="1" applyFill="1" applyBorder="1" applyAlignment="1" applyProtection="1">
      <alignment horizontal="center"/>
      <protection locked="0"/>
    </xf>
    <xf numFmtId="4" fontId="40" fillId="0" borderId="0" xfId="0" applyNumberFormat="1" applyFont="1" applyBorder="1" applyAlignment="1" applyProtection="1">
      <alignment horizontal="center"/>
      <protection locked="0"/>
    </xf>
    <xf numFmtId="4" fontId="40" fillId="0" borderId="0" xfId="0" applyNumberFormat="1" applyFont="1" applyFill="1" applyAlignment="1">
      <alignment horizontal="center" wrapText="1"/>
    </xf>
    <xf numFmtId="4" fontId="33" fillId="0" borderId="17" xfId="377" applyNumberFormat="1" applyFont="1" applyBorder="1" applyAlignment="1" applyProtection="1">
      <alignment horizontal="center" vertical="center"/>
    </xf>
    <xf numFmtId="4" fontId="40" fillId="0" borderId="17" xfId="0" applyNumberFormat="1" applyFont="1" applyBorder="1" applyAlignment="1" applyProtection="1">
      <alignment horizontal="center" vertical="center"/>
      <protection locked="0"/>
    </xf>
    <xf numFmtId="4" fontId="33" fillId="0" borderId="0" xfId="377" applyNumberFormat="1" applyFont="1" applyBorder="1" applyAlignment="1" applyProtection="1">
      <alignment horizontal="center" vertical="center"/>
    </xf>
    <xf numFmtId="4" fontId="46" fillId="0" borderId="15" xfId="0" applyNumberFormat="1" applyFont="1" applyFill="1" applyBorder="1" applyAlignment="1" applyProtection="1">
      <alignment horizontal="center" vertical="center"/>
    </xf>
    <xf numFmtId="4" fontId="46" fillId="0" borderId="15" xfId="0" applyNumberFormat="1" applyFont="1" applyFill="1" applyBorder="1" applyAlignment="1" applyProtection="1">
      <alignment horizontal="center" vertical="center"/>
      <protection locked="0"/>
    </xf>
    <xf numFmtId="4" fontId="0" fillId="0" borderId="0" xfId="0" applyNumberFormat="1" applyFill="1" applyAlignment="1">
      <alignment horizontal="center"/>
    </xf>
    <xf numFmtId="4" fontId="40" fillId="0" borderId="0" xfId="0" applyNumberFormat="1" applyFont="1" applyBorder="1" applyAlignment="1">
      <alignment horizontal="center"/>
    </xf>
    <xf numFmtId="4" fontId="88" fillId="0" borderId="0" xfId="0" applyNumberFormat="1" applyFont="1" applyAlignment="1">
      <alignment horizontal="center" vertical="top" wrapText="1"/>
    </xf>
    <xf numFmtId="4" fontId="87" fillId="0" borderId="0" xfId="569" applyNumberFormat="1" applyFont="1" applyAlignment="1" applyProtection="1">
      <alignment horizontal="center" wrapText="1"/>
      <protection locked="0"/>
    </xf>
    <xf numFmtId="4" fontId="0" fillId="0" borderId="0" xfId="0" applyNumberFormat="1" applyAlignment="1">
      <alignment horizontal="center"/>
    </xf>
    <xf numFmtId="4" fontId="3" fillId="0" borderId="0" xfId="0" applyNumberFormat="1" applyFont="1" applyAlignment="1">
      <alignment horizontal="center"/>
    </xf>
    <xf numFmtId="0" fontId="33" fillId="0" borderId="11" xfId="377" applyFont="1" applyBorder="1" applyAlignment="1">
      <alignment horizontal="center"/>
    </xf>
    <xf numFmtId="0" fontId="33" fillId="0" borderId="0" xfId="377" applyFont="1" applyBorder="1" applyAlignment="1">
      <alignment horizontal="center" vertical="top" wrapText="1"/>
    </xf>
    <xf numFmtId="0" fontId="35" fillId="0" borderId="0" xfId="305" applyFont="1" applyFill="1" applyBorder="1" applyAlignment="1" applyProtection="1">
      <alignment horizontal="center"/>
    </xf>
    <xf numFmtId="3" fontId="45" fillId="0" borderId="0" xfId="0" applyNumberFormat="1" applyFont="1" applyFill="1" applyBorder="1" applyAlignment="1" applyProtection="1">
      <alignment horizontal="center" vertical="center"/>
    </xf>
    <xf numFmtId="0" fontId="43" fillId="0" borderId="15"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6" xfId="377" applyFont="1" applyFill="1" applyBorder="1" applyAlignment="1" applyProtection="1">
      <alignment horizontal="center" vertical="center" wrapText="1"/>
    </xf>
    <xf numFmtId="0" fontId="40" fillId="0" borderId="0" xfId="377" applyFont="1" applyFill="1" applyBorder="1" applyAlignment="1" applyProtection="1">
      <alignment horizontal="center" vertical="center" wrapText="1"/>
    </xf>
    <xf numFmtId="0" fontId="53" fillId="0" borderId="0" xfId="0" applyFont="1" applyBorder="1" applyAlignment="1" applyProtection="1">
      <alignment horizontal="center" vertical="top" wrapText="1"/>
    </xf>
    <xf numFmtId="0" fontId="4" fillId="0" borderId="0" xfId="0" applyFont="1" applyFill="1" applyAlignment="1">
      <alignment horizontal="center"/>
    </xf>
    <xf numFmtId="4" fontId="40" fillId="0" borderId="0" xfId="377" applyNumberFormat="1"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16"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16" xfId="377" applyFont="1" applyBorder="1" applyAlignment="1" applyProtection="1">
      <alignment horizontal="center" vertical="center"/>
    </xf>
    <xf numFmtId="0" fontId="40" fillId="0" borderId="0" xfId="399" applyFont="1" applyFill="1" applyAlignment="1">
      <alignment horizontal="center"/>
    </xf>
    <xf numFmtId="0" fontId="33" fillId="0" borderId="0" xfId="377" applyFont="1" applyBorder="1" applyAlignment="1" applyProtection="1">
      <alignment horizontal="center" vertical="center"/>
    </xf>
    <xf numFmtId="2" fontId="0" fillId="0" borderId="0" xfId="0" applyNumberFormat="1" applyAlignment="1">
      <alignment horizontal="center"/>
    </xf>
    <xf numFmtId="0" fontId="33" fillId="0" borderId="0" xfId="0" applyFont="1" applyBorder="1" applyAlignment="1" applyProtection="1">
      <alignment horizontal="center" vertical="center"/>
    </xf>
    <xf numFmtId="2" fontId="33" fillId="0" borderId="0" xfId="377" applyNumberFormat="1" applyFont="1" applyBorder="1" applyAlignment="1" applyProtection="1">
      <alignment horizontal="center" vertical="top"/>
    </xf>
    <xf numFmtId="0" fontId="40" fillId="0" borderId="0" xfId="377" applyFont="1" applyBorder="1" applyAlignment="1" applyProtection="1">
      <alignment horizontal="center" vertical="center"/>
    </xf>
    <xf numFmtId="0" fontId="40" fillId="0" borderId="0" xfId="0" applyFont="1" applyBorder="1" applyAlignment="1" applyProtection="1">
      <alignment horizontal="center"/>
    </xf>
    <xf numFmtId="0" fontId="40" fillId="0" borderId="0" xfId="0" applyFont="1" applyFill="1" applyBorder="1" applyAlignment="1" applyProtection="1">
      <alignment horizontal="center"/>
    </xf>
    <xf numFmtId="0" fontId="33" fillId="0" borderId="0" xfId="377" applyFont="1" applyAlignment="1" applyProtection="1">
      <alignment horizontal="center" vertical="center"/>
    </xf>
    <xf numFmtId="0" fontId="33" fillId="0" borderId="17" xfId="377" applyFont="1" applyBorder="1" applyAlignment="1" applyProtection="1">
      <alignment horizontal="center" vertical="center"/>
    </xf>
    <xf numFmtId="0" fontId="46" fillId="0" borderId="15" xfId="0" applyFont="1" applyFill="1" applyBorder="1" applyAlignment="1" applyProtection="1">
      <alignment horizontal="center" vertical="center"/>
    </xf>
    <xf numFmtId="0" fontId="40" fillId="0" borderId="0" xfId="0" applyFont="1" applyFill="1" applyAlignment="1" applyProtection="1">
      <alignment horizontal="justify" vertical="top" wrapText="1"/>
      <protection locked="0"/>
    </xf>
    <xf numFmtId="0" fontId="0" fillId="0" borderId="0" xfId="0" applyFill="1" applyAlignment="1" applyProtection="1">
      <alignment wrapText="1"/>
      <protection locked="0"/>
    </xf>
    <xf numFmtId="0" fontId="40" fillId="0" borderId="0" xfId="0" applyFont="1" applyFill="1" applyAlignment="1" applyProtection="1">
      <alignment horizontal="justify"/>
      <protection locked="0"/>
    </xf>
    <xf numFmtId="0" fontId="42" fillId="0" borderId="0" xfId="0" applyFont="1" applyFill="1" applyAlignment="1" applyProtection="1">
      <alignment horizontal="justify"/>
      <protection locked="0"/>
    </xf>
    <xf numFmtId="0" fontId="40" fillId="0" borderId="0" xfId="398" applyFont="1" applyFill="1" applyAlignment="1" applyProtection="1">
      <alignment horizontal="justify" vertical="top" wrapText="1"/>
      <protection locked="0"/>
    </xf>
    <xf numFmtId="2" fontId="40" fillId="0" borderId="0" xfId="377" applyNumberFormat="1" applyFont="1" applyFill="1" applyBorder="1" applyAlignment="1" applyProtection="1">
      <alignment horizontal="left" vertical="top" wrapText="1"/>
      <protection locked="0"/>
    </xf>
    <xf numFmtId="2" fontId="33" fillId="0" borderId="11" xfId="377" applyNumberFormat="1" applyFont="1" applyFill="1" applyBorder="1" applyAlignment="1" applyProtection="1">
      <alignment vertical="top"/>
      <protection locked="0"/>
    </xf>
    <xf numFmtId="2" fontId="33" fillId="0" borderId="0" xfId="377" applyNumberFormat="1" applyFont="1" applyFill="1" applyAlignment="1" applyProtection="1">
      <alignment vertical="top"/>
      <protection locked="0"/>
    </xf>
    <xf numFmtId="49" fontId="40" fillId="0" borderId="0" xfId="0" applyNumberFormat="1" applyFont="1" applyFill="1" applyAlignment="1" applyProtection="1">
      <alignment vertical="top" wrapText="1"/>
      <protection locked="0"/>
    </xf>
    <xf numFmtId="2" fontId="33" fillId="0" borderId="16" xfId="377" applyNumberFormat="1" applyFont="1" applyFill="1" applyBorder="1" applyAlignment="1" applyProtection="1">
      <alignment vertical="top"/>
      <protection locked="0"/>
    </xf>
    <xf numFmtId="2" fontId="40" fillId="0" borderId="0" xfId="377" applyNumberFormat="1" applyFont="1" applyFill="1" applyAlignment="1" applyProtection="1">
      <alignment vertical="top"/>
      <protection locked="0"/>
    </xf>
    <xf numFmtId="0" fontId="40" fillId="0" borderId="0" xfId="0" applyFont="1" applyFill="1" applyAlignment="1" applyProtection="1">
      <alignment vertical="top" wrapText="1"/>
      <protection locked="0"/>
    </xf>
    <xf numFmtId="2" fontId="33" fillId="0" borderId="16" xfId="377" applyNumberFormat="1" applyFont="1" applyBorder="1" applyAlignment="1" applyProtection="1">
      <alignment vertical="top"/>
      <protection locked="0"/>
    </xf>
    <xf numFmtId="0" fontId="40" fillId="0" borderId="0" xfId="0" applyFont="1" applyBorder="1" applyAlignment="1" applyProtection="1">
      <alignment vertical="top" wrapText="1"/>
      <protection locked="0"/>
    </xf>
    <xf numFmtId="0" fontId="40" fillId="0" borderId="0" xfId="0" applyFont="1" applyFill="1" applyAlignment="1" applyProtection="1">
      <alignment horizontal="right" vertical="top" wrapText="1"/>
      <protection locked="0"/>
    </xf>
    <xf numFmtId="0" fontId="40" fillId="0" borderId="0" xfId="0" applyFont="1" applyFill="1" applyAlignment="1" applyProtection="1">
      <alignment horizontal="left" wrapText="1"/>
      <protection locked="0"/>
    </xf>
    <xf numFmtId="2" fontId="33" fillId="0" borderId="11" xfId="377" applyNumberFormat="1" applyFont="1" applyBorder="1" applyAlignment="1" applyProtection="1">
      <alignment vertical="top"/>
      <protection locked="0"/>
    </xf>
    <xf numFmtId="49" fontId="40" fillId="0" borderId="0" xfId="0" applyNumberFormat="1" applyFont="1" applyAlignment="1" applyProtection="1">
      <alignment vertical="top" wrapText="1"/>
      <protection locked="0"/>
    </xf>
    <xf numFmtId="2" fontId="33" fillId="0" borderId="0" xfId="377" applyNumberFormat="1" applyFont="1" applyAlignment="1" applyProtection="1">
      <alignment vertical="top"/>
      <protection locked="0"/>
    </xf>
    <xf numFmtId="0" fontId="40" fillId="0" borderId="0" xfId="0" applyFont="1" applyFill="1" applyAlignment="1" applyProtection="1">
      <alignment horizontal="justify" wrapText="1"/>
      <protection locked="0"/>
    </xf>
    <xf numFmtId="0" fontId="40" fillId="0" borderId="0" xfId="0" applyFont="1" applyFill="1" applyAlignment="1" applyProtection="1">
      <alignment horizontal="left" vertical="top" wrapText="1"/>
      <protection locked="0"/>
    </xf>
    <xf numFmtId="0" fontId="40" fillId="0" borderId="0" xfId="399" applyFont="1" applyFill="1" applyAlignment="1" applyProtection="1">
      <alignment horizontal="justify" vertical="top" wrapText="1"/>
      <protection locked="0"/>
    </xf>
    <xf numFmtId="0" fontId="40" fillId="0" borderId="0" xfId="0" applyNumberFormat="1" applyFont="1" applyFill="1" applyAlignment="1" applyProtection="1">
      <alignment horizontal="justify" vertical="top" wrapText="1"/>
      <protection locked="0"/>
    </xf>
    <xf numFmtId="0" fontId="40" fillId="0" borderId="0" xfId="0" applyFont="1" applyFill="1" applyAlignment="1" applyProtection="1">
      <alignment wrapText="1"/>
      <protection locked="0"/>
    </xf>
    <xf numFmtId="0" fontId="0" fillId="0" borderId="0" xfId="0" applyFill="1" applyBorder="1" applyAlignment="1" applyProtection="1">
      <alignment horizontal="left" wrapText="1"/>
      <protection locked="0"/>
    </xf>
    <xf numFmtId="0" fontId="40" fillId="0" borderId="0" xfId="0" applyFont="1" applyFill="1" applyBorder="1" applyAlignment="1" applyProtection="1">
      <alignment horizontal="justify" wrapText="1"/>
      <protection locked="0"/>
    </xf>
    <xf numFmtId="0" fontId="40" fillId="0" borderId="0" xfId="377" applyFont="1" applyFill="1" applyBorder="1" applyAlignment="1" applyProtection="1">
      <alignment vertical="top"/>
      <protection locked="0"/>
    </xf>
    <xf numFmtId="0" fontId="40" fillId="0" borderId="0" xfId="0" applyFont="1" applyFill="1" applyBorder="1" applyAlignment="1" applyProtection="1">
      <alignment horizontal="justify" vertical="top" wrapText="1"/>
      <protection locked="0"/>
    </xf>
    <xf numFmtId="2" fontId="40" fillId="0" borderId="0" xfId="377" quotePrefix="1" applyNumberFormat="1" applyFont="1" applyFill="1" applyBorder="1" applyAlignment="1" applyProtection="1">
      <alignment vertical="top" wrapText="1"/>
      <protection locked="0"/>
    </xf>
    <xf numFmtId="2" fontId="40" fillId="0" borderId="0" xfId="377" applyNumberFormat="1" applyFont="1" applyFill="1" applyBorder="1" applyAlignment="1" applyProtection="1">
      <alignment vertical="top" wrapText="1"/>
      <protection locked="0"/>
    </xf>
    <xf numFmtId="49" fontId="40" fillId="0" borderId="0" xfId="0" applyNumberFormat="1" applyFont="1" applyBorder="1" applyAlignment="1" applyProtection="1">
      <alignment vertical="top" wrapText="1"/>
      <protection locked="0"/>
    </xf>
    <xf numFmtId="0" fontId="40" fillId="0" borderId="0" xfId="0" applyFont="1" applyFill="1" applyAlignment="1" applyProtection="1">
      <alignment horizontal="justify" vertical="top"/>
      <protection locked="0"/>
    </xf>
    <xf numFmtId="49" fontId="40" fillId="0" borderId="0" xfId="0" applyNumberFormat="1" applyFont="1" applyBorder="1" applyAlignment="1" applyProtection="1">
      <alignment horizontal="justify" vertical="top" wrapText="1"/>
      <protection locked="0"/>
    </xf>
    <xf numFmtId="49" fontId="33" fillId="0" borderId="0" xfId="0" applyNumberFormat="1" applyFont="1" applyBorder="1" applyAlignment="1" applyProtection="1">
      <alignment vertical="top" wrapText="1"/>
      <protection locked="0"/>
    </xf>
    <xf numFmtId="2" fontId="33" fillId="0" borderId="0" xfId="377" applyNumberFormat="1" applyFont="1" applyBorder="1" applyAlignment="1" applyProtection="1">
      <alignment vertical="top"/>
      <protection locked="0"/>
    </xf>
    <xf numFmtId="2" fontId="40" fillId="0" borderId="0" xfId="377" applyNumberFormat="1" applyFont="1" applyBorder="1" applyAlignment="1" applyProtection="1">
      <alignment vertical="top" wrapText="1"/>
      <protection locked="0"/>
    </xf>
    <xf numFmtId="0" fontId="42" fillId="0" borderId="0" xfId="0" applyFont="1" applyFill="1" applyAlignment="1" applyProtection="1">
      <alignment horizontal="justify" vertical="top"/>
      <protection locked="0"/>
    </xf>
    <xf numFmtId="2" fontId="33" fillId="0" borderId="0" xfId="377" applyNumberFormat="1" applyFont="1" applyFill="1" applyBorder="1" applyAlignment="1" applyProtection="1">
      <alignment vertical="top"/>
      <protection locked="0"/>
    </xf>
    <xf numFmtId="49" fontId="40" fillId="0" borderId="0" xfId="0" applyNumberFormat="1" applyFont="1" applyFill="1" applyAlignment="1" applyProtection="1">
      <alignment horizontal="justify" vertical="top" wrapText="1"/>
      <protection locked="0"/>
    </xf>
    <xf numFmtId="49" fontId="40" fillId="0" borderId="0" xfId="0" quotePrefix="1" applyNumberFormat="1" applyFont="1" applyFill="1" applyAlignment="1" applyProtection="1">
      <alignment horizontal="justify" vertical="top" wrapText="1"/>
      <protection locked="0"/>
    </xf>
    <xf numFmtId="0" fontId="80" fillId="0" borderId="0" xfId="0" applyFont="1" applyProtection="1">
      <protection locked="0"/>
    </xf>
    <xf numFmtId="49" fontId="40" fillId="0" borderId="0" xfId="0" applyNumberFormat="1" applyFont="1" applyFill="1" applyBorder="1" applyAlignment="1" applyProtection="1">
      <alignment vertical="top" wrapText="1"/>
      <protection locked="0"/>
    </xf>
    <xf numFmtId="0" fontId="40" fillId="0" borderId="0" xfId="0" applyNumberFormat="1" applyFont="1" applyBorder="1" applyAlignment="1" applyProtection="1">
      <alignment horizontal="justify" vertical="center" wrapText="1"/>
      <protection locked="0"/>
    </xf>
    <xf numFmtId="2" fontId="40" fillId="0" borderId="0" xfId="377" applyNumberFormat="1" applyFont="1" applyFill="1" applyBorder="1" applyAlignment="1" applyProtection="1">
      <alignment horizontal="justify" vertical="top" wrapText="1"/>
      <protection locked="0"/>
    </xf>
    <xf numFmtId="0" fontId="40" fillId="0" borderId="0" xfId="0" quotePrefix="1" applyNumberFormat="1" applyFont="1" applyFill="1" applyAlignment="1" applyProtection="1">
      <alignment horizontal="justify" vertical="top" wrapText="1"/>
      <protection locked="0"/>
    </xf>
    <xf numFmtId="0" fontId="40" fillId="0" borderId="0" xfId="377" quotePrefix="1" applyNumberFormat="1" applyFont="1" applyFill="1" applyAlignment="1" applyProtection="1">
      <alignment vertical="top" wrapText="1"/>
      <protection locked="0"/>
    </xf>
    <xf numFmtId="0" fontId="40" fillId="0" borderId="0" xfId="377" applyNumberFormat="1" applyFont="1" applyAlignment="1" applyProtection="1">
      <alignment vertical="top" wrapText="1" shrinkToFit="1"/>
      <protection locked="0"/>
    </xf>
    <xf numFmtId="0" fontId="50" fillId="0" borderId="0" xfId="0" applyNumberFormat="1" applyFont="1" applyFill="1" applyAlignment="1" applyProtection="1">
      <alignment horizontal="justify" vertical="top" wrapText="1"/>
      <protection locked="0"/>
    </xf>
    <xf numFmtId="4" fontId="40" fillId="0" borderId="0" xfId="0" applyNumberFormat="1" applyFont="1" applyFill="1" applyProtection="1">
      <protection locked="0"/>
    </xf>
    <xf numFmtId="2" fontId="3" fillId="0" borderId="0" xfId="377" applyNumberFormat="1" applyFont="1" applyBorder="1" applyAlignment="1" applyProtection="1">
      <alignment vertical="top" wrapText="1"/>
      <protection locked="0"/>
    </xf>
    <xf numFmtId="2" fontId="40" fillId="0" borderId="0" xfId="377" applyNumberFormat="1" applyFont="1" applyBorder="1" applyAlignment="1" applyProtection="1">
      <alignment horizontal="justify" vertical="top" wrapText="1"/>
      <protection locked="0"/>
    </xf>
    <xf numFmtId="0" fontId="40" fillId="0" borderId="0" xfId="377" applyFont="1" applyAlignment="1" applyProtection="1">
      <alignment vertical="top"/>
      <protection locked="0"/>
    </xf>
    <xf numFmtId="0" fontId="48" fillId="0" borderId="17" xfId="377" applyFont="1" applyBorder="1" applyAlignment="1" applyProtection="1">
      <alignment vertical="center"/>
      <protection locked="0"/>
    </xf>
    <xf numFmtId="0" fontId="46" fillId="0" borderId="0" xfId="377" applyFont="1" applyBorder="1" applyAlignment="1" applyProtection="1">
      <alignment vertical="center"/>
      <protection locked="0"/>
    </xf>
    <xf numFmtId="2" fontId="33" fillId="0" borderId="0" xfId="377" applyNumberFormat="1" applyFont="1" applyBorder="1" applyAlignment="1" applyProtection="1">
      <alignment vertical="center"/>
      <protection locked="0"/>
    </xf>
    <xf numFmtId="0" fontId="33" fillId="0" borderId="0" xfId="377" applyFont="1" applyBorder="1" applyAlignment="1" applyProtection="1">
      <alignment horizontal="left" vertical="center"/>
      <protection locked="0"/>
    </xf>
    <xf numFmtId="2" fontId="33" fillId="0" borderId="0" xfId="377" applyNumberFormat="1" applyFont="1" applyBorder="1" applyAlignment="1" applyProtection="1">
      <alignment horizontal="left" vertical="center"/>
      <protection locked="0"/>
    </xf>
    <xf numFmtId="0" fontId="40" fillId="0" borderId="0" xfId="377" applyFont="1" applyBorder="1" applyAlignment="1" applyProtection="1">
      <alignment vertical="center"/>
      <protection locked="0"/>
    </xf>
    <xf numFmtId="2" fontId="46" fillId="0" borderId="15" xfId="377" applyNumberFormat="1" applyFont="1" applyFill="1" applyBorder="1" applyAlignment="1" applyProtection="1">
      <alignment vertical="center"/>
      <protection locked="0"/>
    </xf>
    <xf numFmtId="49" fontId="40" fillId="0" borderId="16" xfId="0" applyNumberFormat="1" applyFont="1" applyBorder="1" applyAlignment="1" applyProtection="1">
      <alignment vertical="top" wrapText="1"/>
      <protection locked="0"/>
    </xf>
    <xf numFmtId="4" fontId="0" fillId="0" borderId="0" xfId="0" applyNumberFormat="1" applyFill="1" applyAlignment="1" applyProtection="1">
      <alignment horizontal="center"/>
      <protection locked="0"/>
    </xf>
    <xf numFmtId="4" fontId="40" fillId="0" borderId="0" xfId="399" applyNumberFormat="1" applyFont="1" applyFill="1" applyBorder="1" applyAlignment="1" applyProtection="1">
      <alignment horizontal="center"/>
      <protection locked="0"/>
    </xf>
    <xf numFmtId="4" fontId="50" fillId="0" borderId="0" xfId="0" applyNumberFormat="1" applyFont="1" applyBorder="1" applyAlignment="1" applyProtection="1">
      <alignment horizontal="center"/>
      <protection locked="0"/>
    </xf>
    <xf numFmtId="4" fontId="88" fillId="0" borderId="0" xfId="0" applyNumberFormat="1" applyFont="1" applyAlignment="1" applyProtection="1">
      <alignment horizontal="center"/>
      <protection locked="0"/>
    </xf>
    <xf numFmtId="4" fontId="88" fillId="0" borderId="0" xfId="0" applyNumberFormat="1" applyFont="1" applyAlignment="1" applyProtection="1">
      <alignment horizontal="center" vertical="top"/>
      <protection locked="0"/>
    </xf>
    <xf numFmtId="4" fontId="87" fillId="0" borderId="0" xfId="569" applyNumberFormat="1" applyFont="1" applyBorder="1" applyAlignment="1" applyProtection="1">
      <alignment horizontal="center"/>
      <protection locked="0"/>
    </xf>
    <xf numFmtId="4" fontId="3" fillId="0" borderId="0" xfId="0" applyNumberFormat="1" applyFont="1" applyAlignment="1" applyProtection="1">
      <alignment horizontal="center" vertical="top" wrapText="1"/>
      <protection locked="0"/>
    </xf>
    <xf numFmtId="0" fontId="49" fillId="0" borderId="61" xfId="0" applyFont="1" applyFill="1" applyBorder="1" applyAlignment="1">
      <alignment horizontal="center"/>
    </xf>
    <xf numFmtId="4" fontId="3" fillId="0" borderId="0" xfId="0" applyNumberFormat="1" applyFont="1" applyFill="1" applyAlignment="1">
      <alignment horizontal="right"/>
    </xf>
    <xf numFmtId="4" fontId="40" fillId="0" borderId="0" xfId="0" applyNumberFormat="1" applyFont="1" applyBorder="1" applyAlignment="1">
      <alignment horizontal="right"/>
    </xf>
    <xf numFmtId="4" fontId="40" fillId="0" borderId="0" xfId="0" applyNumberFormat="1" applyFont="1" applyFill="1" applyAlignment="1">
      <alignment horizontal="right" vertical="top" wrapText="1"/>
    </xf>
    <xf numFmtId="4" fontId="40" fillId="0" borderId="0" xfId="0" applyNumberFormat="1" applyFont="1" applyFill="1" applyBorder="1" applyAlignment="1">
      <alignment horizontal="right" vertical="center"/>
    </xf>
    <xf numFmtId="4" fontId="0" fillId="0" borderId="0" xfId="0" applyNumberFormat="1" applyAlignment="1">
      <alignment horizontal="right"/>
    </xf>
    <xf numFmtId="4" fontId="3" fillId="0" borderId="0" xfId="0" applyNumberFormat="1" applyFont="1" applyAlignment="1">
      <alignment horizontal="right" vertical="top"/>
    </xf>
    <xf numFmtId="4" fontId="33" fillId="0" borderId="0" xfId="377" applyNumberFormat="1" applyFont="1" applyFill="1" applyBorder="1" applyAlignment="1">
      <alignment horizontal="right" vertical="top" indent="1"/>
    </xf>
    <xf numFmtId="4" fontId="33" fillId="0" borderId="0" xfId="377" applyNumberFormat="1" applyFont="1" applyFill="1" applyBorder="1" applyAlignment="1">
      <alignment horizontal="center" vertical="top"/>
    </xf>
    <xf numFmtId="4" fontId="32" fillId="0" borderId="11" xfId="377" applyNumberFormat="1" applyFont="1" applyBorder="1"/>
    <xf numFmtId="4" fontId="33" fillId="0" borderId="0" xfId="377" applyNumberFormat="1" applyFont="1" applyFill="1" applyBorder="1" applyAlignment="1">
      <alignment horizontal="right" vertical="center"/>
    </xf>
    <xf numFmtId="4" fontId="53" fillId="0" borderId="0" xfId="0" applyNumberFormat="1" applyFont="1" applyBorder="1" applyAlignment="1" applyProtection="1">
      <alignment horizontal="left" vertical="top" wrapText="1"/>
    </xf>
    <xf numFmtId="4" fontId="0" fillId="0" borderId="0" xfId="0" applyNumberFormat="1" applyFill="1" applyAlignment="1">
      <alignment horizontal="right"/>
    </xf>
    <xf numFmtId="4" fontId="40" fillId="0" borderId="0" xfId="0" applyNumberFormat="1" applyFont="1" applyFill="1" applyBorder="1" applyAlignment="1">
      <alignment horizontal="left"/>
    </xf>
    <xf numFmtId="4" fontId="40" fillId="0" borderId="0" xfId="0" applyNumberFormat="1" applyFont="1" applyBorder="1"/>
    <xf numFmtId="4" fontId="40" fillId="0" borderId="0" xfId="0" applyNumberFormat="1" applyFont="1" applyFill="1" applyAlignment="1">
      <alignment vertical="center"/>
    </xf>
    <xf numFmtId="4" fontId="40" fillId="0" borderId="0" xfId="0" applyNumberFormat="1" applyFont="1" applyFill="1" applyAlignment="1">
      <alignment vertical="top" wrapText="1"/>
    </xf>
    <xf numFmtId="4" fontId="40" fillId="0" borderId="0" xfId="0" applyNumberFormat="1" applyFont="1" applyFill="1" applyBorder="1" applyAlignment="1">
      <alignment vertical="center"/>
    </xf>
    <xf numFmtId="4" fontId="34" fillId="0" borderId="15" xfId="0" applyNumberFormat="1" applyFont="1" applyFill="1" applyBorder="1" applyAlignment="1" applyProtection="1">
      <alignment horizontal="right" vertical="center" wrapText="1"/>
    </xf>
    <xf numFmtId="4" fontId="32" fillId="0" borderId="0" xfId="377" applyNumberFormat="1" applyFont="1" applyFill="1" applyBorder="1" applyAlignment="1">
      <alignment horizontal="center" vertical="top"/>
    </xf>
    <xf numFmtId="4" fontId="33" fillId="0" borderId="11" xfId="377" applyNumberFormat="1" applyFont="1" applyBorder="1" applyAlignment="1">
      <alignment horizontal="center"/>
    </xf>
    <xf numFmtId="4" fontId="32" fillId="0" borderId="0" xfId="377" applyNumberFormat="1" applyFont="1" applyBorder="1" applyAlignment="1">
      <alignment horizontal="center" vertical="center"/>
    </xf>
    <xf numFmtId="4" fontId="33" fillId="0" borderId="0" xfId="377" applyNumberFormat="1" applyFont="1" applyBorder="1" applyAlignment="1">
      <alignment horizontal="center" vertical="top"/>
    </xf>
    <xf numFmtId="4" fontId="35" fillId="0" borderId="0" xfId="305" applyNumberFormat="1" applyFont="1" applyFill="1" applyBorder="1" applyAlignment="1" applyProtection="1">
      <alignment horizontal="center" vertical="center"/>
    </xf>
    <xf numFmtId="4" fontId="36" fillId="0" borderId="0" xfId="132" applyNumberFormat="1" applyFont="1" applyFill="1" applyBorder="1" applyAlignment="1" applyProtection="1">
      <alignment horizontal="center" vertical="center"/>
    </xf>
    <xf numFmtId="4" fontId="45" fillId="0" borderId="0" xfId="0" applyNumberFormat="1" applyFont="1" applyFill="1" applyBorder="1" applyAlignment="1" applyProtection="1">
      <alignment horizontal="center" vertical="center"/>
    </xf>
    <xf numFmtId="4" fontId="45" fillId="0" borderId="0" xfId="0" applyNumberFormat="1" applyFont="1" applyFill="1" applyBorder="1" applyAlignment="1" applyProtection="1">
      <alignment horizontal="center"/>
    </xf>
    <xf numFmtId="4" fontId="43" fillId="0" borderId="15" xfId="0" applyNumberFormat="1" applyFont="1" applyFill="1" applyBorder="1" applyAlignment="1" applyProtection="1">
      <alignment horizontal="center" vertical="center"/>
    </xf>
    <xf numFmtId="4" fontId="40" fillId="0" borderId="16" xfId="377" applyNumberFormat="1" applyFont="1" applyFill="1" applyBorder="1" applyAlignment="1" applyProtection="1">
      <alignment horizontal="center" vertical="center" wrapText="1"/>
    </xf>
    <xf numFmtId="4" fontId="40" fillId="0" borderId="0" xfId="377" applyNumberFormat="1" applyFont="1" applyFill="1" applyBorder="1" applyAlignment="1" applyProtection="1">
      <alignment horizontal="center" vertical="center" wrapText="1"/>
    </xf>
    <xf numFmtId="4" fontId="53" fillId="0" borderId="0" xfId="0" applyNumberFormat="1" applyFont="1" applyBorder="1" applyAlignment="1" applyProtection="1">
      <alignment horizontal="center" vertical="top" wrapText="1"/>
    </xf>
    <xf numFmtId="4" fontId="85" fillId="0" borderId="0" xfId="0" applyNumberFormat="1" applyFont="1" applyAlignment="1">
      <alignment horizontal="center"/>
    </xf>
    <xf numFmtId="0" fontId="53" fillId="0" borderId="0" xfId="0" applyFont="1" applyBorder="1" applyAlignment="1" applyProtection="1">
      <alignment horizontal="left" vertical="top" wrapText="1"/>
      <protection locked="0"/>
    </xf>
    <xf numFmtId="0" fontId="0" fillId="0" borderId="0" xfId="0" applyFill="1" applyAlignment="1" applyProtection="1">
      <alignment vertical="top" wrapText="1"/>
      <protection locked="0"/>
    </xf>
    <xf numFmtId="0" fontId="40" fillId="0" borderId="0" xfId="0" quotePrefix="1" applyFont="1" applyFill="1" applyAlignment="1" applyProtection="1">
      <alignment horizontal="justify" vertical="top" wrapText="1"/>
      <protection locked="0"/>
    </xf>
    <xf numFmtId="0" fontId="40" fillId="0" borderId="0" xfId="0" applyNumberFormat="1" applyFont="1" applyFill="1" applyBorder="1" applyAlignment="1" applyProtection="1">
      <alignment horizontal="justify" vertical="top" wrapText="1"/>
      <protection locked="0"/>
    </xf>
    <xf numFmtId="0" fontId="3" fillId="0" borderId="0" xfId="0" applyFont="1" applyBorder="1" applyAlignment="1" applyProtection="1">
      <alignment horizontal="left" vertical="top" wrapText="1"/>
      <protection locked="0"/>
    </xf>
    <xf numFmtId="0" fontId="40" fillId="0" borderId="0" xfId="377" applyFont="1" applyFill="1" applyAlignment="1" applyProtection="1">
      <alignment vertical="top"/>
      <protection locked="0"/>
    </xf>
    <xf numFmtId="0" fontId="40" fillId="0" borderId="0" xfId="377" applyFont="1" applyFill="1" applyAlignment="1" applyProtection="1">
      <alignment vertical="top" wrapText="1"/>
      <protection locked="0"/>
    </xf>
    <xf numFmtId="0" fontId="3" fillId="0" borderId="0" xfId="377" applyFont="1" applyFill="1" applyBorder="1" applyAlignment="1" applyProtection="1">
      <alignment horizontal="justify" vertical="top" wrapText="1"/>
      <protection locked="0"/>
    </xf>
    <xf numFmtId="49" fontId="40" fillId="0" borderId="0" xfId="0" quotePrefix="1" applyNumberFormat="1" applyFont="1" applyBorder="1" applyAlignment="1" applyProtection="1">
      <alignment vertical="top" wrapText="1"/>
      <protection locked="0"/>
    </xf>
    <xf numFmtId="0" fontId="40" fillId="0" borderId="0" xfId="398" applyFont="1" applyFill="1" applyAlignment="1" applyProtection="1">
      <alignment horizontal="left" vertical="top" wrapText="1"/>
      <protection locked="0"/>
    </xf>
    <xf numFmtId="0" fontId="80" fillId="0" borderId="0" xfId="0" applyFont="1" applyAlignment="1" applyProtection="1">
      <alignment vertical="top"/>
      <protection locked="0"/>
    </xf>
    <xf numFmtId="0" fontId="40" fillId="0" borderId="0" xfId="0" applyNumberFormat="1" applyFont="1" applyBorder="1" applyAlignment="1" applyProtection="1">
      <alignment horizontal="justify" vertical="top" wrapText="1"/>
      <protection locked="0"/>
    </xf>
    <xf numFmtId="0" fontId="40" fillId="0" borderId="0" xfId="377" quotePrefix="1" applyNumberFormat="1" applyFont="1" applyAlignment="1" applyProtection="1">
      <alignment vertical="top" wrapText="1"/>
      <protection locked="0"/>
    </xf>
    <xf numFmtId="0" fontId="40" fillId="0" borderId="0" xfId="377" applyNumberFormat="1" applyFont="1" applyFill="1" applyAlignment="1" applyProtection="1">
      <alignment vertical="top" wrapText="1" shrinkToFit="1"/>
      <protection locked="0"/>
    </xf>
    <xf numFmtId="4" fontId="40" fillId="0" borderId="0" xfId="0" applyNumberFormat="1" applyFont="1" applyFill="1" applyAlignment="1" applyProtection="1">
      <alignment vertical="top"/>
      <protection locked="0"/>
    </xf>
    <xf numFmtId="0" fontId="84" fillId="0" borderId="0" xfId="578" applyFont="1" applyFill="1" applyBorder="1" applyAlignment="1" applyProtection="1">
      <alignment horizontal="justify" vertical="top"/>
      <protection locked="0"/>
    </xf>
    <xf numFmtId="0" fontId="40" fillId="0" borderId="0" xfId="578" applyFont="1" applyFill="1" applyBorder="1" applyAlignment="1" applyProtection="1">
      <alignment horizontal="justify" vertical="top" wrapText="1"/>
      <protection locked="0"/>
    </xf>
    <xf numFmtId="0" fontId="40" fillId="0" borderId="0" xfId="578" applyNumberFormat="1" applyFont="1" applyFill="1" applyBorder="1" applyAlignment="1" applyProtection="1">
      <alignment vertical="top" wrapText="1"/>
      <protection locked="0"/>
    </xf>
    <xf numFmtId="0" fontId="40" fillId="0" borderId="0" xfId="0" applyFont="1" applyAlignment="1" applyProtection="1">
      <alignment horizontal="left" vertical="top" wrapText="1"/>
      <protection locked="0"/>
    </xf>
    <xf numFmtId="4" fontId="40" fillId="0" borderId="0" xfId="0" applyNumberFormat="1" applyFont="1" applyFill="1" applyBorder="1" applyAlignment="1" applyProtection="1">
      <alignment horizontal="left" vertical="top" wrapText="1"/>
      <protection locked="0"/>
    </xf>
    <xf numFmtId="0" fontId="48" fillId="0" borderId="17" xfId="377" applyFont="1" applyBorder="1" applyAlignment="1" applyProtection="1">
      <alignment vertical="top"/>
      <protection locked="0"/>
    </xf>
    <xf numFmtId="0" fontId="46" fillId="0" borderId="0" xfId="377" applyFont="1" applyBorder="1" applyAlignment="1" applyProtection="1">
      <alignment vertical="top"/>
      <protection locked="0"/>
    </xf>
    <xf numFmtId="0" fontId="33" fillId="0" borderId="0" xfId="377" applyFont="1" applyBorder="1" applyAlignment="1" applyProtection="1">
      <alignment horizontal="left" vertical="top"/>
      <protection locked="0"/>
    </xf>
    <xf numFmtId="2" fontId="33" fillId="0" borderId="0" xfId="377" applyNumberFormat="1" applyFont="1" applyBorder="1" applyAlignment="1" applyProtection="1">
      <alignment horizontal="left" vertical="top"/>
      <protection locked="0"/>
    </xf>
    <xf numFmtId="0" fontId="33" fillId="0" borderId="0" xfId="377" applyFont="1" applyFill="1" applyBorder="1" applyAlignment="1" applyProtection="1">
      <alignment horizontal="left" vertical="top"/>
      <protection locked="0"/>
    </xf>
    <xf numFmtId="2" fontId="33" fillId="0" borderId="0" xfId="377" applyNumberFormat="1" applyFont="1" applyFill="1" applyBorder="1" applyAlignment="1" applyProtection="1">
      <alignment horizontal="left" vertical="top"/>
      <protection locked="0"/>
    </xf>
    <xf numFmtId="0" fontId="40" fillId="0" borderId="0" xfId="377" applyFont="1" applyBorder="1" applyAlignment="1" applyProtection="1">
      <alignment vertical="top"/>
      <protection locked="0"/>
    </xf>
    <xf numFmtId="4" fontId="40" fillId="0" borderId="0" xfId="377" applyNumberFormat="1" applyFont="1" applyFill="1" applyBorder="1" applyAlignment="1" applyProtection="1">
      <alignment horizontal="center"/>
    </xf>
    <xf numFmtId="0" fontId="33" fillId="0" borderId="11" xfId="0" applyFont="1" applyFill="1" applyBorder="1" applyAlignment="1" applyProtection="1">
      <alignment horizontal="center"/>
    </xf>
    <xf numFmtId="0" fontId="33" fillId="0" borderId="0" xfId="0" applyFont="1" applyFill="1" applyBorder="1" applyAlignment="1" applyProtection="1">
      <alignment horizontal="center"/>
    </xf>
    <xf numFmtId="0" fontId="40" fillId="0" borderId="16" xfId="0" applyFont="1" applyFill="1" applyBorder="1" applyAlignment="1" applyProtection="1">
      <alignment horizontal="center"/>
    </xf>
    <xf numFmtId="0" fontId="40" fillId="0" borderId="16" xfId="0" applyFont="1" applyBorder="1" applyAlignment="1" applyProtection="1">
      <alignment horizontal="center"/>
    </xf>
    <xf numFmtId="0" fontId="33" fillId="0" borderId="11" xfId="0" applyFont="1" applyBorder="1" applyAlignment="1" applyProtection="1">
      <alignment horizontal="center"/>
    </xf>
    <xf numFmtId="0" fontId="40" fillId="0" borderId="0" xfId="0" applyFont="1" applyAlignment="1" applyProtection="1">
      <alignment horizontal="center"/>
    </xf>
    <xf numFmtId="0" fontId="33" fillId="0" borderId="16" xfId="377" applyFont="1" applyBorder="1" applyAlignment="1" applyProtection="1">
      <alignment horizontal="center"/>
    </xf>
    <xf numFmtId="0" fontId="33" fillId="0" borderId="0" xfId="377" applyFont="1" applyBorder="1" applyAlignment="1" applyProtection="1">
      <alignment horizontal="center"/>
    </xf>
    <xf numFmtId="0" fontId="33" fillId="0" borderId="0" xfId="0" applyFont="1" applyBorder="1" applyAlignment="1" applyProtection="1">
      <alignment horizontal="center"/>
    </xf>
    <xf numFmtId="2" fontId="75" fillId="0" borderId="0" xfId="377" applyNumberFormat="1" applyFont="1" applyBorder="1" applyAlignment="1" applyProtection="1">
      <alignment horizontal="center"/>
    </xf>
    <xf numFmtId="0" fontId="40" fillId="0" borderId="0" xfId="377" applyFont="1" applyBorder="1" applyAlignment="1" applyProtection="1">
      <alignment horizontal="center"/>
    </xf>
    <xf numFmtId="0" fontId="33" fillId="0" borderId="0" xfId="377" applyFont="1" applyAlignment="1" applyProtection="1">
      <alignment horizontal="center"/>
    </xf>
    <xf numFmtId="0" fontId="33" fillId="0" borderId="17" xfId="377" applyFont="1" applyBorder="1" applyAlignment="1" applyProtection="1">
      <alignment horizontal="center"/>
    </xf>
    <xf numFmtId="4" fontId="84" fillId="0" borderId="0" xfId="0" applyNumberFormat="1" applyFont="1"/>
    <xf numFmtId="4" fontId="39" fillId="34" borderId="12" xfId="0" applyNumberFormat="1" applyFont="1" applyFill="1" applyBorder="1" applyAlignment="1" applyProtection="1">
      <alignment horizontal="center" vertical="top" wrapText="1"/>
    </xf>
    <xf numFmtId="4" fontId="84" fillId="0" borderId="47" xfId="0" applyNumberFormat="1" applyFont="1" applyBorder="1"/>
    <xf numFmtId="4" fontId="84" fillId="0" borderId="46" xfId="0" applyNumberFormat="1" applyFont="1" applyBorder="1"/>
    <xf numFmtId="4" fontId="84" fillId="0" borderId="53" xfId="0" applyNumberFormat="1" applyFont="1" applyBorder="1"/>
    <xf numFmtId="4" fontId="84" fillId="0" borderId="20" xfId="0" applyNumberFormat="1" applyFont="1" applyBorder="1"/>
    <xf numFmtId="4" fontId="84" fillId="0" borderId="22" xfId="0" applyNumberFormat="1" applyFont="1" applyBorder="1"/>
    <xf numFmtId="4" fontId="84" fillId="0" borderId="51" xfId="0" applyNumberFormat="1" applyFont="1" applyBorder="1"/>
    <xf numFmtId="4" fontId="84" fillId="0" borderId="49" xfId="0" applyNumberFormat="1" applyFont="1" applyBorder="1"/>
    <xf numFmtId="0" fontId="84" fillId="0" borderId="0" xfId="0" applyFont="1" applyProtection="1">
      <protection locked="0"/>
    </xf>
    <xf numFmtId="0" fontId="91" fillId="0" borderId="0" xfId="0" applyFont="1" applyProtection="1">
      <protection locked="0"/>
    </xf>
    <xf numFmtId="0" fontId="39" fillId="34" borderId="12" xfId="0" applyFont="1" applyFill="1" applyBorder="1" applyAlignment="1" applyProtection="1">
      <alignment horizontal="center" vertical="top" wrapText="1"/>
      <protection locked="0"/>
    </xf>
    <xf numFmtId="0" fontId="92" fillId="0" borderId="0" xfId="0" applyFont="1" applyProtection="1">
      <protection locked="0"/>
    </xf>
    <xf numFmtId="0" fontId="84" fillId="0" borderId="46" xfId="0" applyFont="1" applyBorder="1" applyProtection="1">
      <protection locked="0"/>
    </xf>
    <xf numFmtId="0" fontId="84" fillId="0" borderId="47" xfId="0" applyFont="1" applyBorder="1" applyProtection="1">
      <protection locked="0"/>
    </xf>
    <xf numFmtId="0" fontId="84" fillId="0" borderId="15" xfId="0" applyFont="1" applyBorder="1" applyProtection="1">
      <protection locked="0"/>
    </xf>
    <xf numFmtId="0" fontId="84" fillId="0" borderId="0" xfId="0" applyFont="1" applyBorder="1" applyProtection="1">
      <protection locked="0"/>
    </xf>
    <xf numFmtId="0" fontId="91" fillId="0" borderId="11" xfId="0" applyFont="1" applyBorder="1" applyProtection="1">
      <protection locked="0"/>
    </xf>
    <xf numFmtId="4" fontId="84" fillId="0" borderId="0" xfId="0" applyNumberFormat="1" applyFont="1" applyAlignment="1" applyProtection="1">
      <alignment horizontal="center"/>
      <protection locked="0"/>
    </xf>
    <xf numFmtId="4" fontId="39" fillId="34" borderId="12" xfId="0" applyNumberFormat="1" applyFont="1" applyFill="1" applyBorder="1" applyAlignment="1" applyProtection="1">
      <alignment horizontal="center" vertical="top" wrapText="1"/>
      <protection locked="0"/>
    </xf>
    <xf numFmtId="4" fontId="84" fillId="0" borderId="47" xfId="0" applyNumberFormat="1" applyFont="1" applyBorder="1" applyAlignment="1" applyProtection="1">
      <alignment horizontal="center"/>
      <protection locked="0"/>
    </xf>
    <xf numFmtId="4" fontId="84" fillId="0" borderId="46" xfId="0" applyNumberFormat="1" applyFont="1" applyBorder="1" applyAlignment="1" applyProtection="1">
      <alignment horizontal="center"/>
      <protection locked="0"/>
    </xf>
    <xf numFmtId="4" fontId="84" fillId="0" borderId="15" xfId="0" applyNumberFormat="1" applyFont="1" applyBorder="1" applyAlignment="1" applyProtection="1">
      <alignment horizontal="center"/>
      <protection locked="0"/>
    </xf>
    <xf numFmtId="4" fontId="84" fillId="0" borderId="0" xfId="0" applyNumberFormat="1" applyFont="1" applyBorder="1" applyAlignment="1" applyProtection="1">
      <alignment horizontal="center"/>
      <protection locked="0"/>
    </xf>
    <xf numFmtId="4" fontId="84" fillId="0" borderId="11" xfId="0" applyNumberFormat="1" applyFont="1" applyBorder="1" applyAlignment="1" applyProtection="1">
      <alignment horizontal="center"/>
      <protection locked="0"/>
    </xf>
    <xf numFmtId="4" fontId="84" fillId="0" borderId="0" xfId="0" applyNumberFormat="1" applyFont="1" applyProtection="1"/>
    <xf numFmtId="0" fontId="84" fillId="0" borderId="0" xfId="0" applyFont="1" applyAlignment="1" applyProtection="1">
      <alignment horizontal="left" vertical="center" wrapText="1"/>
      <protection locked="0"/>
    </xf>
    <xf numFmtId="0" fontId="84" fillId="0" borderId="0" xfId="0" applyFont="1" applyFill="1" applyAlignment="1" applyProtection="1">
      <alignment horizontal="justify"/>
      <protection locked="0"/>
    </xf>
    <xf numFmtId="0" fontId="84" fillId="0" borderId="0" xfId="0" applyFont="1" applyFill="1" applyAlignment="1" applyProtection="1">
      <alignment horizontal="justify" vertical="top" wrapText="1"/>
      <protection locked="0"/>
    </xf>
    <xf numFmtId="0" fontId="91" fillId="0" borderId="62" xfId="0" applyFont="1" applyFill="1" applyBorder="1" applyAlignment="1" applyProtection="1">
      <alignment horizontal="left"/>
      <protection locked="0"/>
    </xf>
    <xf numFmtId="0" fontId="91" fillId="0" borderId="0" xfId="0" applyFont="1" applyFill="1" applyAlignment="1" applyProtection="1">
      <alignment horizontal="left" vertical="center" wrapText="1"/>
      <protection locked="0"/>
    </xf>
    <xf numFmtId="0" fontId="84" fillId="0" borderId="0" xfId="0" applyFont="1" applyFill="1" applyAlignment="1" applyProtection="1">
      <alignment horizontal="left" vertical="center" wrapText="1"/>
      <protection locked="0"/>
    </xf>
    <xf numFmtId="0" fontId="91" fillId="0" borderId="55" xfId="0" applyFont="1" applyFill="1" applyBorder="1" applyAlignment="1" applyProtection="1">
      <alignment horizontal="left" vertical="top" wrapText="1"/>
      <protection locked="0"/>
    </xf>
    <xf numFmtId="4" fontId="91" fillId="0" borderId="54" xfId="0" applyNumberFormat="1" applyFont="1" applyFill="1" applyBorder="1" applyAlignment="1">
      <alignment horizontal="right"/>
    </xf>
    <xf numFmtId="4" fontId="91" fillId="0" borderId="0" xfId="580" applyNumberFormat="1" applyFont="1" applyFill="1" applyBorder="1" applyAlignment="1" applyProtection="1">
      <alignment horizontal="right"/>
    </xf>
    <xf numFmtId="4" fontId="91" fillId="0" borderId="55" xfId="580" applyNumberFormat="1" applyFont="1" applyFill="1" applyBorder="1" applyAlignment="1" applyProtection="1">
      <alignment horizontal="right"/>
    </xf>
    <xf numFmtId="1" fontId="84" fillId="0" borderId="0" xfId="0" applyNumberFormat="1" applyFont="1" applyFill="1" applyAlignment="1">
      <alignment horizontal="center"/>
    </xf>
    <xf numFmtId="1" fontId="84" fillId="0" borderId="0" xfId="580" applyNumberFormat="1" applyFont="1" applyFill="1" applyBorder="1" applyAlignment="1" applyProtection="1">
      <alignment horizontal="center"/>
    </xf>
    <xf numFmtId="1" fontId="84" fillId="0" borderId="54" xfId="0" applyNumberFormat="1" applyFont="1" applyFill="1" applyBorder="1" applyAlignment="1">
      <alignment horizontal="center"/>
    </xf>
    <xf numFmtId="1" fontId="84" fillId="0" borderId="0" xfId="0" applyNumberFormat="1" applyFont="1" applyFill="1" applyAlignment="1">
      <alignment horizontal="center" vertical="center" wrapText="1"/>
    </xf>
    <xf numFmtId="1" fontId="84" fillId="0" borderId="0" xfId="0" applyNumberFormat="1" applyFont="1" applyAlignment="1">
      <alignment horizontal="center"/>
    </xf>
    <xf numFmtId="0" fontId="84" fillId="0" borderId="0" xfId="0" applyNumberFormat="1" applyFont="1" applyFill="1" applyAlignment="1" applyProtection="1">
      <alignment horizontal="center" vertical="center" wrapText="1"/>
      <protection locked="0"/>
    </xf>
    <xf numFmtId="0" fontId="84" fillId="0" borderId="0" xfId="0" applyFont="1" applyFill="1" applyAlignment="1">
      <alignment horizontal="center" vertical="center" wrapText="1"/>
    </xf>
    <xf numFmtId="0" fontId="42" fillId="34" borderId="12" xfId="0" applyFont="1" applyFill="1" applyBorder="1" applyAlignment="1" applyProtection="1">
      <alignment horizontal="center" vertical="top" wrapText="1"/>
    </xf>
    <xf numFmtId="0" fontId="84" fillId="0" borderId="54" xfId="0" applyFont="1" applyFill="1" applyBorder="1" applyAlignment="1">
      <alignment horizontal="center"/>
    </xf>
    <xf numFmtId="2" fontId="84" fillId="0" borderId="55" xfId="580" applyNumberFormat="1" applyFont="1" applyFill="1" applyBorder="1" applyAlignment="1" applyProtection="1">
      <alignment horizontal="center"/>
    </xf>
    <xf numFmtId="4" fontId="84" fillId="0" borderId="0" xfId="0" applyNumberFormat="1" applyFont="1" applyProtection="1">
      <protection locked="0"/>
    </xf>
    <xf numFmtId="1" fontId="84" fillId="0" borderId="54" xfId="0" applyNumberFormat="1" applyFont="1" applyFill="1" applyBorder="1" applyAlignment="1" applyProtection="1">
      <alignment horizontal="center"/>
      <protection locked="0"/>
    </xf>
    <xf numFmtId="1" fontId="84" fillId="0" borderId="0" xfId="580" applyNumberFormat="1" applyFont="1" applyFill="1" applyBorder="1" applyAlignment="1" applyProtection="1">
      <alignment horizontal="center"/>
      <protection locked="0"/>
    </xf>
    <xf numFmtId="4" fontId="84" fillId="0" borderId="54" xfId="0" applyNumberFormat="1" applyFont="1" applyFill="1" applyBorder="1" applyAlignment="1">
      <alignment horizontal="right"/>
    </xf>
    <xf numFmtId="0" fontId="4" fillId="0" borderId="0" xfId="0" applyNumberFormat="1" applyFont="1" applyFill="1" applyAlignment="1" applyProtection="1">
      <alignment horizontal="center" vertical="center" wrapText="1"/>
      <protection locked="0"/>
    </xf>
    <xf numFmtId="2" fontId="4" fillId="0" borderId="0" xfId="0" applyNumberFormat="1" applyFont="1" applyFill="1" applyAlignment="1">
      <alignment horizontal="center"/>
    </xf>
    <xf numFmtId="0" fontId="4" fillId="0" borderId="0" xfId="0" applyFont="1" applyFill="1" applyAlignment="1">
      <alignment horizontal="center" vertical="center" wrapText="1"/>
    </xf>
    <xf numFmtId="0" fontId="4" fillId="0" borderId="0" xfId="0" applyFont="1" applyAlignment="1">
      <alignment horizontal="center"/>
    </xf>
    <xf numFmtId="2" fontId="4" fillId="0" borderId="0" xfId="580" applyNumberFormat="1" applyFont="1" applyFill="1" applyBorder="1" applyAlignment="1" applyProtection="1">
      <alignment horizontal="center"/>
    </xf>
    <xf numFmtId="0" fontId="4" fillId="0" borderId="57" xfId="0" applyFont="1" applyFill="1" applyBorder="1" applyAlignment="1">
      <alignment horizontal="center"/>
    </xf>
    <xf numFmtId="0" fontId="4" fillId="0" borderId="0" xfId="0" applyFont="1" applyFill="1" applyBorder="1" applyAlignment="1">
      <alignment horizontal="center"/>
    </xf>
    <xf numFmtId="2" fontId="4" fillId="0" borderId="55" xfId="580" applyNumberFormat="1" applyFont="1" applyFill="1" applyBorder="1" applyAlignment="1" applyProtection="1">
      <alignment horizontal="center"/>
    </xf>
    <xf numFmtId="0" fontId="4" fillId="0" borderId="57" xfId="0" applyFont="1" applyBorder="1" applyAlignment="1">
      <alignment horizontal="center"/>
    </xf>
    <xf numFmtId="0" fontId="4" fillId="0" borderId="0" xfId="0" applyFont="1" applyBorder="1" applyAlignment="1">
      <alignment horizontal="center"/>
    </xf>
    <xf numFmtId="165" fontId="4" fillId="0" borderId="0" xfId="580" applyFont="1" applyFill="1" applyBorder="1" applyAlignment="1" applyProtection="1">
      <alignment horizontal="center"/>
    </xf>
    <xf numFmtId="0" fontId="108" fillId="0" borderId="0" xfId="0" applyFont="1" applyAlignment="1">
      <alignment horizontal="center"/>
    </xf>
    <xf numFmtId="165" fontId="4" fillId="0" borderId="55" xfId="580" applyFont="1" applyFill="1" applyBorder="1" applyAlignment="1" applyProtection="1">
      <alignment horizontal="center"/>
    </xf>
    <xf numFmtId="4" fontId="4" fillId="0" borderId="57" xfId="0" applyNumberFormat="1" applyFont="1" applyFill="1" applyBorder="1" applyAlignment="1">
      <alignment horizontal="center"/>
    </xf>
    <xf numFmtId="4" fontId="4" fillId="0" borderId="57" xfId="0" applyNumberFormat="1" applyFont="1" applyFill="1" applyBorder="1" applyAlignment="1">
      <alignment horizontal="right"/>
    </xf>
    <xf numFmtId="4" fontId="52" fillId="0" borderId="57" xfId="0" applyNumberFormat="1" applyFont="1" applyFill="1" applyBorder="1" applyAlignment="1">
      <alignment horizontal="right"/>
    </xf>
    <xf numFmtId="4" fontId="52" fillId="0" borderId="0" xfId="0" applyNumberFormat="1" applyFont="1" applyFill="1" applyBorder="1" applyAlignment="1">
      <alignment horizontal="right"/>
    </xf>
    <xf numFmtId="4" fontId="52" fillId="0" borderId="0" xfId="580" applyNumberFormat="1" applyFont="1" applyFill="1" applyBorder="1" applyAlignment="1" applyProtection="1">
      <alignment horizontal="right"/>
    </xf>
    <xf numFmtId="4" fontId="52" fillId="0" borderId="55" xfId="580" applyNumberFormat="1" applyFont="1" applyFill="1" applyBorder="1" applyAlignment="1" applyProtection="1">
      <alignment horizontal="right"/>
    </xf>
    <xf numFmtId="0" fontId="4" fillId="0" borderId="0" xfId="0" applyFont="1" applyAlignment="1" applyProtection="1">
      <alignment horizontal="left" vertical="center" wrapText="1"/>
      <protection locked="0"/>
    </xf>
    <xf numFmtId="0" fontId="4" fillId="0" borderId="0" xfId="0" applyFont="1" applyFill="1" applyAlignment="1" applyProtection="1">
      <alignment horizontal="justify"/>
      <protection locked="0"/>
    </xf>
    <xf numFmtId="0" fontId="4" fillId="0" borderId="0" xfId="0" applyFont="1" applyFill="1" applyAlignment="1" applyProtection="1">
      <alignment horizontal="left" vertical="center" wrapText="1"/>
      <protection locked="0"/>
    </xf>
    <xf numFmtId="0" fontId="52" fillId="0" borderId="0" xfId="0" applyFont="1" applyFill="1" applyAlignment="1" applyProtection="1">
      <alignment horizontal="left" indent="1"/>
      <protection locked="0"/>
    </xf>
    <xf numFmtId="0" fontId="52" fillId="0" borderId="0" xfId="0" applyFont="1" applyAlignment="1" applyProtection="1">
      <alignment horizontal="left" indent="1"/>
      <protection locked="0"/>
    </xf>
    <xf numFmtId="0" fontId="0" fillId="0" borderId="0" xfId="0" applyProtection="1">
      <protection locked="0"/>
    </xf>
    <xf numFmtId="0" fontId="52" fillId="0" borderId="62"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0" xfId="0" applyFont="1" applyFill="1" applyAlignment="1" applyProtection="1">
      <alignment horizontal="left" vertical="center" wrapText="1"/>
      <protection locked="0"/>
    </xf>
    <xf numFmtId="0" fontId="4" fillId="0" borderId="0" xfId="0" applyFont="1" applyFill="1" applyAlignment="1" applyProtection="1">
      <alignment horizontal="justify" vertical="top" wrapText="1"/>
      <protection locked="0"/>
    </xf>
    <xf numFmtId="0" fontId="52" fillId="0" borderId="0" xfId="0" applyFont="1" applyProtection="1">
      <protection locked="0"/>
    </xf>
    <xf numFmtId="0" fontId="2" fillId="0" borderId="0" xfId="188" applyFont="1" applyAlignment="1" applyProtection="1">
      <alignment horizontal="left" vertical="top" wrapText="1"/>
      <protection locked="0"/>
    </xf>
    <xf numFmtId="0" fontId="21" fillId="0" borderId="0" xfId="188" applyFont="1" applyAlignment="1" applyProtection="1">
      <alignment horizontal="left" vertical="top" wrapText="1"/>
      <protection locked="0"/>
    </xf>
    <xf numFmtId="0" fontId="52" fillId="0" borderId="55" xfId="0" applyFont="1" applyFill="1" applyBorder="1" applyAlignment="1" applyProtection="1">
      <alignment horizontal="left" vertical="top" wrapText="1"/>
      <protection locked="0"/>
    </xf>
    <xf numFmtId="4" fontId="0" fillId="0" borderId="0" xfId="0" applyNumberFormat="1" applyProtection="1">
      <protection locked="0"/>
    </xf>
    <xf numFmtId="4" fontId="4" fillId="0" borderId="57" xfId="0" applyNumberFormat="1" applyFont="1" applyFill="1" applyBorder="1" applyAlignment="1" applyProtection="1">
      <alignment horizontal="center"/>
      <protection locked="0"/>
    </xf>
    <xf numFmtId="4" fontId="52" fillId="0" borderId="57" xfId="0" applyNumberFormat="1" applyFont="1" applyFill="1" applyBorder="1" applyAlignment="1" applyProtection="1">
      <alignment horizontal="center"/>
      <protection locked="0"/>
    </xf>
    <xf numFmtId="4" fontId="52" fillId="0" borderId="0" xfId="0" applyNumberFormat="1" applyFont="1" applyFill="1" applyBorder="1" applyAlignment="1" applyProtection="1">
      <alignment horizontal="center"/>
      <protection locked="0"/>
    </xf>
    <xf numFmtId="4" fontId="52" fillId="0" borderId="0" xfId="580" applyNumberFormat="1" applyFont="1" applyFill="1" applyBorder="1" applyAlignment="1" applyProtection="1">
      <alignment horizontal="center"/>
      <protection locked="0"/>
    </xf>
    <xf numFmtId="4" fontId="52" fillId="0" borderId="55" xfId="580" applyNumberFormat="1" applyFont="1" applyFill="1" applyBorder="1" applyAlignment="1" applyProtection="1">
      <alignment horizontal="center"/>
      <protection locked="0"/>
    </xf>
    <xf numFmtId="0" fontId="0" fillId="0" borderId="0" xfId="0" applyFont="1" applyAlignment="1">
      <alignment horizontal="center"/>
    </xf>
    <xf numFmtId="0" fontId="60" fillId="0" borderId="0" xfId="0" applyFont="1" applyFill="1" applyBorder="1" applyAlignment="1">
      <alignment horizontal="center"/>
    </xf>
    <xf numFmtId="49" fontId="0" fillId="0" borderId="0" xfId="0" applyNumberForma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Fill="1" applyBorder="1" applyAlignment="1">
      <alignment horizontal="center"/>
    </xf>
    <xf numFmtId="43" fontId="0" fillId="0" borderId="0" xfId="586" applyFont="1" applyFill="1" applyBorder="1" applyAlignment="1" applyProtection="1">
      <alignment horizontal="center"/>
    </xf>
    <xf numFmtId="4" fontId="49" fillId="0" borderId="60" xfId="0" applyNumberFormat="1" applyFont="1" applyBorder="1"/>
    <xf numFmtId="4" fontId="0" fillId="0" borderId="60" xfId="0" applyNumberFormat="1" applyBorder="1" applyProtection="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wrapText="1"/>
      <protection locked="0"/>
    </xf>
    <xf numFmtId="0" fontId="49" fillId="0" borderId="0" xfId="0" applyFont="1" applyProtection="1">
      <protection locked="0"/>
    </xf>
    <xf numFmtId="0" fontId="60" fillId="0" borderId="0" xfId="0" applyFont="1" applyFill="1" applyBorder="1" applyAlignment="1" applyProtection="1">
      <alignment horizontal="justify" vertical="top"/>
      <protection locked="0"/>
    </xf>
    <xf numFmtId="0" fontId="0" fillId="0" borderId="0" xfId="0" applyFont="1" applyFill="1" applyBorder="1" applyAlignment="1" applyProtection="1">
      <alignment vertical="top" wrapText="1"/>
      <protection locked="0"/>
    </xf>
    <xf numFmtId="0" fontId="60" fillId="0" borderId="0" xfId="0" applyFont="1" applyFill="1" applyBorder="1" applyProtection="1">
      <protection locked="0"/>
    </xf>
    <xf numFmtId="0" fontId="49" fillId="0" borderId="0" xfId="0" applyFont="1" applyFill="1" applyBorder="1" applyProtection="1">
      <protection locked="0"/>
    </xf>
    <xf numFmtId="0" fontId="4" fillId="0" borderId="0" xfId="0" applyFont="1" applyProtection="1">
      <protection locked="0"/>
    </xf>
    <xf numFmtId="0" fontId="0" fillId="0" borderId="0" xfId="0" applyFont="1" applyFill="1" applyBorder="1" applyProtection="1">
      <protection locked="0"/>
    </xf>
    <xf numFmtId="0" fontId="4" fillId="0" borderId="0" xfId="0" applyFont="1" applyFill="1" applyBorder="1" applyAlignment="1" applyProtection="1">
      <alignmen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50" fillId="0" borderId="0" xfId="0" applyFont="1" applyFill="1" applyBorder="1" applyAlignment="1">
      <alignment horizontal="center" vertical="top" wrapText="1"/>
    </xf>
    <xf numFmtId="0" fontId="37" fillId="0" borderId="11" xfId="585" applyFont="1" applyBorder="1" applyAlignment="1">
      <alignment horizontal="center"/>
    </xf>
    <xf numFmtId="0" fontId="37" fillId="0" borderId="0" xfId="585" applyFont="1" applyAlignment="1">
      <alignment horizontal="center"/>
    </xf>
    <xf numFmtId="0" fontId="36" fillId="0" borderId="0" xfId="0" applyFont="1" applyAlignment="1">
      <alignment horizontal="center"/>
    </xf>
    <xf numFmtId="169" fontId="36" fillId="0" borderId="0" xfId="0" applyNumberFormat="1" applyFont="1" applyFill="1" applyAlignment="1">
      <alignment horizontal="center"/>
    </xf>
    <xf numFmtId="0" fontId="37" fillId="0" borderId="0" xfId="0" applyNumberFormat="1" applyFont="1" applyAlignment="1">
      <alignment horizontal="center" vertical="top" wrapText="1"/>
    </xf>
    <xf numFmtId="0" fontId="37" fillId="0" borderId="0" xfId="0" applyNumberFormat="1" applyFont="1" applyFill="1" applyAlignment="1">
      <alignment horizontal="center" vertical="top" wrapText="1"/>
    </xf>
    <xf numFmtId="0" fontId="36" fillId="0" borderId="0" xfId="0" applyFont="1" applyFill="1" applyAlignment="1">
      <alignment horizontal="center"/>
    </xf>
    <xf numFmtId="169" fontId="97" fillId="0" borderId="0" xfId="0" applyNumberFormat="1" applyFont="1" applyFill="1" applyAlignment="1">
      <alignment horizontal="center"/>
    </xf>
    <xf numFmtId="0" fontId="97" fillId="0" borderId="0" xfId="0" applyNumberFormat="1" applyFont="1" applyFill="1" applyAlignment="1">
      <alignment horizontal="center"/>
    </xf>
    <xf numFmtId="0" fontId="37" fillId="0" borderId="0" xfId="0" applyFont="1" applyAlignment="1">
      <alignment horizontal="center"/>
    </xf>
    <xf numFmtId="0" fontId="50" fillId="0" borderId="0" xfId="0" applyFont="1" applyBorder="1" applyAlignment="1">
      <alignment horizontal="center" vertical="top" wrapText="1"/>
    </xf>
    <xf numFmtId="0" fontId="103" fillId="0" borderId="0" xfId="0" applyNumberFormat="1" applyFont="1" applyAlignment="1">
      <alignment horizontal="center" vertical="top" wrapText="1"/>
    </xf>
    <xf numFmtId="0" fontId="104" fillId="0" borderId="0" xfId="0" applyFont="1" applyAlignment="1">
      <alignment horizontal="center"/>
    </xf>
    <xf numFmtId="49" fontId="105" fillId="0" borderId="0" xfId="0" applyNumberFormat="1" applyFont="1" applyFill="1" applyAlignment="1">
      <alignment horizontal="center"/>
    </xf>
    <xf numFmtId="0" fontId="37" fillId="0" borderId="0" xfId="583" applyFont="1" applyBorder="1" applyAlignment="1">
      <alignment horizontal="center"/>
    </xf>
    <xf numFmtId="169" fontId="36" fillId="0" borderId="0" xfId="0" applyNumberFormat="1" applyFont="1" applyFill="1" applyBorder="1" applyAlignment="1">
      <alignment horizontal="center"/>
    </xf>
    <xf numFmtId="169" fontId="106" fillId="0" borderId="0" xfId="0" applyNumberFormat="1" applyFont="1" applyFill="1" applyAlignment="1">
      <alignment horizontal="center"/>
    </xf>
    <xf numFmtId="0" fontId="37" fillId="0" borderId="11" xfId="0" applyFont="1" applyFill="1" applyBorder="1" applyAlignment="1">
      <alignment horizontal="center"/>
    </xf>
    <xf numFmtId="0" fontId="37" fillId="0" borderId="15" xfId="585" applyFont="1" applyBorder="1" applyAlignment="1">
      <alignment horizontal="center"/>
    </xf>
    <xf numFmtId="0" fontId="37" fillId="0" borderId="11" xfId="0" applyFont="1" applyBorder="1" applyAlignment="1">
      <alignment horizontal="center"/>
    </xf>
    <xf numFmtId="0" fontId="37" fillId="0" borderId="0" xfId="0" applyFont="1" applyBorder="1" applyAlignment="1">
      <alignment horizontal="center" wrapText="1"/>
    </xf>
    <xf numFmtId="0" fontId="37" fillId="0" borderId="11" xfId="583" applyFont="1" applyBorder="1" applyAlignment="1">
      <alignment horizontal="center"/>
    </xf>
    <xf numFmtId="0" fontId="37" fillId="0" borderId="11" xfId="0" applyFont="1" applyBorder="1" applyAlignment="1">
      <alignment horizontal="center" wrapText="1"/>
    </xf>
    <xf numFmtId="167" fontId="37" fillId="0" borderId="0" xfId="0" applyNumberFormat="1" applyFont="1" applyFill="1" applyBorder="1" applyAlignment="1">
      <alignment horizontal="center" wrapText="1"/>
    </xf>
    <xf numFmtId="166" fontId="36" fillId="0" borderId="0" xfId="0" applyNumberFormat="1" applyFont="1" applyFill="1" applyBorder="1" applyAlignment="1">
      <alignment horizontal="center" vertical="top" wrapText="1"/>
    </xf>
    <xf numFmtId="4" fontId="36" fillId="34" borderId="52" xfId="0" applyNumberFormat="1" applyFont="1" applyFill="1" applyBorder="1" applyAlignment="1">
      <alignment horizontal="center" wrapText="1"/>
    </xf>
    <xf numFmtId="4" fontId="37" fillId="0" borderId="0" xfId="0" applyNumberFormat="1" applyFont="1" applyAlignment="1">
      <alignment vertical="center"/>
    </xf>
    <xf numFmtId="4" fontId="37" fillId="0" borderId="11" xfId="0" applyNumberFormat="1" applyFont="1" applyFill="1" applyBorder="1" applyAlignment="1">
      <alignment wrapText="1"/>
    </xf>
    <xf numFmtId="4" fontId="37" fillId="0" borderId="0" xfId="0" applyNumberFormat="1" applyFont="1" applyFill="1" applyBorder="1" applyAlignment="1">
      <alignment horizontal="center" vertical="top" wrapText="1"/>
    </xf>
    <xf numFmtId="1" fontId="40" fillId="0" borderId="0" xfId="0" applyNumberFormat="1" applyFont="1" applyBorder="1" applyAlignment="1">
      <alignment horizontal="center" vertical="top" wrapText="1"/>
    </xf>
    <xf numFmtId="4" fontId="32" fillId="0" borderId="0" xfId="0" applyNumberFormat="1" applyFont="1" applyFill="1" applyBorder="1" applyAlignment="1">
      <alignment wrapText="1"/>
    </xf>
    <xf numFmtId="4" fontId="94" fillId="0" borderId="0" xfId="0" applyNumberFormat="1" applyFont="1" applyFill="1" applyBorder="1" applyAlignment="1">
      <alignment vertical="top" wrapText="1"/>
    </xf>
    <xf numFmtId="4" fontId="40" fillId="0" borderId="0" xfId="0" applyNumberFormat="1" applyFont="1" applyFill="1" applyBorder="1" applyAlignment="1"/>
    <xf numFmtId="4" fontId="36" fillId="34" borderId="52" xfId="0" applyNumberFormat="1" applyFont="1" applyFill="1" applyBorder="1" applyAlignment="1"/>
    <xf numFmtId="4" fontId="37" fillId="0" borderId="11" xfId="0" applyNumberFormat="1" applyFont="1" applyFill="1" applyBorder="1" applyAlignment="1"/>
    <xf numFmtId="4" fontId="3" fillId="0" borderId="0" xfId="0" applyNumberFormat="1" applyFont="1" applyAlignment="1">
      <alignment vertical="center"/>
    </xf>
    <xf numFmtId="4" fontId="40" fillId="0" borderId="0" xfId="0" applyNumberFormat="1" applyFont="1" applyFill="1" applyBorder="1" applyAlignment="1">
      <alignment vertical="top" wrapText="1"/>
    </xf>
    <xf numFmtId="4" fontId="37" fillId="0" borderId="11" xfId="0" applyNumberFormat="1" applyFont="1" applyFill="1" applyBorder="1" applyAlignment="1">
      <alignment vertical="top" wrapText="1"/>
    </xf>
    <xf numFmtId="4" fontId="40" fillId="0" borderId="0" xfId="0" applyNumberFormat="1" applyFont="1" applyBorder="1" applyAlignment="1">
      <alignment vertical="top" wrapText="1"/>
    </xf>
    <xf numFmtId="0" fontId="37" fillId="32" borderId="0" xfId="0" applyFont="1" applyFill="1" applyBorder="1" applyAlignment="1" applyProtection="1">
      <alignment vertical="center" wrapText="1"/>
      <protection locked="0"/>
    </xf>
    <xf numFmtId="0" fontId="37" fillId="0" borderId="0" xfId="177" applyNumberFormat="1" applyFont="1" applyFill="1" applyBorder="1" applyAlignment="1" applyProtection="1">
      <alignment vertical="center" wrapText="1"/>
      <protection locked="0"/>
    </xf>
    <xf numFmtId="49" fontId="37" fillId="0" borderId="0" xfId="0" applyNumberFormat="1" applyFont="1" applyFill="1" applyBorder="1" applyAlignment="1" applyProtection="1">
      <alignment horizontal="left" vertical="top" wrapText="1"/>
      <protection locked="0"/>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horizontal="left" vertical="center" wrapText="1"/>
      <protection locked="0"/>
    </xf>
    <xf numFmtId="0" fontId="37" fillId="32" borderId="11" xfId="0" applyFont="1" applyFill="1" applyBorder="1" applyAlignment="1" applyProtection="1">
      <alignment vertical="center" wrapText="1"/>
      <protection locked="0"/>
    </xf>
    <xf numFmtId="0" fontId="36" fillId="32" borderId="0" xfId="0" applyFont="1" applyFill="1" applyBorder="1" applyAlignment="1" applyProtection="1">
      <alignment vertical="center" wrapText="1"/>
      <protection locked="0"/>
    </xf>
    <xf numFmtId="0" fontId="36" fillId="0" borderId="0" xfId="0" applyFont="1" applyFill="1" applyBorder="1" applyAlignment="1" applyProtection="1">
      <alignment horizontal="justify" vertical="top" wrapText="1"/>
      <protection locked="0"/>
    </xf>
    <xf numFmtId="0" fontId="37" fillId="0" borderId="0" xfId="0" applyFont="1" applyFill="1" applyBorder="1" applyAlignment="1" applyProtection="1">
      <alignment horizontal="left" vertical="center"/>
      <protection locked="0"/>
    </xf>
    <xf numFmtId="0" fontId="36" fillId="0" borderId="0" xfId="0" applyNumberFormat="1" applyFont="1" applyBorder="1" applyAlignment="1" applyProtection="1">
      <alignment vertical="justify" wrapText="1"/>
      <protection locked="0"/>
    </xf>
    <xf numFmtId="0" fontId="37" fillId="0" borderId="0" xfId="0" applyFont="1" applyBorder="1" applyAlignment="1" applyProtection="1">
      <alignment horizontal="justify" vertical="top" wrapText="1"/>
      <protection locked="0"/>
    </xf>
    <xf numFmtId="0" fontId="37" fillId="0" borderId="0" xfId="0" applyFont="1" applyAlignment="1" applyProtection="1">
      <alignment vertical="top" wrapText="1"/>
      <protection locked="0"/>
    </xf>
    <xf numFmtId="0" fontId="97" fillId="0" borderId="0" xfId="0" applyFont="1" applyAlignment="1" applyProtection="1">
      <alignment vertical="top" wrapText="1"/>
      <protection locked="0"/>
    </xf>
    <xf numFmtId="0" fontId="37" fillId="0" borderId="11" xfId="0"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50" fillId="0" borderId="11" xfId="0" applyFont="1" applyFill="1" applyBorder="1" applyAlignment="1" applyProtection="1">
      <alignment vertical="top" wrapText="1"/>
      <protection locked="0"/>
    </xf>
    <xf numFmtId="0" fontId="50" fillId="0" borderId="0" xfId="0" applyFont="1" applyFill="1" applyBorder="1" applyAlignment="1" applyProtection="1">
      <alignment vertical="top" wrapText="1"/>
      <protection locked="0"/>
    </xf>
    <xf numFmtId="0" fontId="36" fillId="0" borderId="0" xfId="583" applyFont="1" applyBorder="1" applyAlignment="1" applyProtection="1">
      <alignment vertical="top" wrapText="1"/>
      <protection locked="0"/>
    </xf>
    <xf numFmtId="0" fontId="37" fillId="0" borderId="0" xfId="583"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37" fillId="0" borderId="0" xfId="0" applyFont="1" applyFill="1" applyBorder="1" applyAlignment="1" applyProtection="1">
      <alignment wrapText="1"/>
      <protection locked="0"/>
    </xf>
    <xf numFmtId="0" fontId="3" fillId="0" borderId="0" xfId="0" applyFont="1" applyProtection="1">
      <protection locked="0"/>
    </xf>
    <xf numFmtId="0" fontId="37" fillId="0" borderId="0" xfId="0" applyFont="1" applyAlignment="1" applyProtection="1">
      <alignment horizontal="left" vertical="top" wrapText="1"/>
      <protection locked="0"/>
    </xf>
    <xf numFmtId="0" fontId="37" fillId="0" borderId="0" xfId="0" applyNumberFormat="1" applyFont="1" applyAlignment="1" applyProtection="1">
      <alignment vertical="top" wrapText="1"/>
      <protection locked="0"/>
    </xf>
    <xf numFmtId="0" fontId="37" fillId="0" borderId="0" xfId="0" applyFont="1" applyAlignment="1" applyProtection="1">
      <alignment horizontal="justify" vertical="top" wrapText="1"/>
      <protection locked="0"/>
    </xf>
    <xf numFmtId="0" fontId="37" fillId="0" borderId="0" xfId="0" applyFont="1" applyBorder="1" applyAlignment="1" applyProtection="1">
      <alignment horizontal="justify" vertical="top"/>
      <protection locked="0"/>
    </xf>
    <xf numFmtId="0" fontId="37" fillId="0" borderId="0" xfId="583" applyFont="1" applyBorder="1" applyAlignment="1" applyProtection="1">
      <alignment horizontal="left" vertical="top" wrapText="1"/>
      <protection locked="0"/>
    </xf>
    <xf numFmtId="0" fontId="37" fillId="0" borderId="0" xfId="583" applyFont="1" applyBorder="1" applyAlignment="1" applyProtection="1">
      <alignment horizontal="justify" vertical="top" wrapText="1"/>
      <protection locked="0"/>
    </xf>
    <xf numFmtId="0" fontId="40" fillId="0" borderId="0" xfId="0" applyFont="1" applyFill="1" applyBorder="1" applyAlignment="1" applyProtection="1">
      <alignment horizontal="left" vertical="top" wrapText="1"/>
      <protection locked="0"/>
    </xf>
    <xf numFmtId="0" fontId="40" fillId="0" borderId="11" xfId="0" applyFont="1" applyFill="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37" fillId="0" borderId="0" xfId="0" applyFont="1" applyAlignment="1" applyProtection="1">
      <alignment horizontal="left" vertical="top"/>
      <protection locked="0"/>
    </xf>
    <xf numFmtId="0" fontId="37" fillId="0" borderId="0" xfId="0" applyFont="1" applyFill="1" applyBorder="1" applyAlignment="1" applyProtection="1">
      <alignment horizontal="justify" vertical="top" wrapText="1"/>
      <protection locked="0"/>
    </xf>
    <xf numFmtId="0" fontId="37" fillId="0" borderId="0" xfId="0" applyFont="1" applyFill="1" applyBorder="1" applyAlignment="1" applyProtection="1">
      <alignment horizontal="left" vertical="top" wrapText="1"/>
      <protection locked="0"/>
    </xf>
    <xf numFmtId="0" fontId="101" fillId="0" borderId="0" xfId="0" applyFont="1" applyBorder="1" applyAlignment="1" applyProtection="1">
      <alignment horizontal="left" wrapText="1"/>
      <protection locked="0"/>
    </xf>
    <xf numFmtId="0" fontId="37" fillId="0" borderId="0" xfId="0" applyFont="1" applyAlignment="1" applyProtection="1">
      <alignment wrapText="1"/>
      <protection locked="0"/>
    </xf>
    <xf numFmtId="0" fontId="101" fillId="0" borderId="0" xfId="0" applyFont="1" applyProtection="1">
      <protection locked="0"/>
    </xf>
    <xf numFmtId="0" fontId="101" fillId="0" borderId="0" xfId="0" applyFont="1" applyBorder="1" applyAlignment="1" applyProtection="1">
      <alignment wrapText="1"/>
      <protection locked="0"/>
    </xf>
    <xf numFmtId="0" fontId="101" fillId="0" borderId="0" xfId="0" applyFont="1" applyBorder="1" applyAlignment="1" applyProtection="1">
      <alignment horizontal="left"/>
      <protection locked="0"/>
    </xf>
    <xf numFmtId="0" fontId="101" fillId="0" borderId="16" xfId="0" applyFont="1" applyBorder="1" applyAlignment="1" applyProtection="1">
      <alignment horizontal="left"/>
      <protection locked="0"/>
    </xf>
    <xf numFmtId="0" fontId="40" fillId="0" borderId="11" xfId="0" applyFont="1" applyBorder="1" applyAlignment="1" applyProtection="1">
      <alignment vertical="top" wrapText="1"/>
      <protection locked="0"/>
    </xf>
    <xf numFmtId="0" fontId="36" fillId="0" borderId="0" xfId="0" applyFont="1" applyAlignment="1" applyProtection="1">
      <alignment horizontal="left" vertical="top" wrapText="1"/>
      <protection locked="0"/>
    </xf>
    <xf numFmtId="0" fontId="36" fillId="0" borderId="0" xfId="0" applyFont="1" applyAlignment="1" applyProtection="1">
      <alignment vertical="top" wrapText="1"/>
      <protection locked="0"/>
    </xf>
    <xf numFmtId="0" fontId="36" fillId="0" borderId="0" xfId="0" applyNumberFormat="1" applyFont="1" applyFill="1" applyAlignment="1" applyProtection="1">
      <protection locked="0"/>
    </xf>
    <xf numFmtId="49" fontId="36" fillId="0" borderId="0" xfId="0" applyNumberFormat="1" applyFont="1" applyFill="1" applyAlignment="1" applyProtection="1">
      <alignment wrapText="1"/>
      <protection locked="0"/>
    </xf>
    <xf numFmtId="0" fontId="37" fillId="0" borderId="0" xfId="0" applyNumberFormat="1" applyFont="1" applyFill="1" applyAlignment="1" applyProtection="1">
      <alignment vertical="top" wrapText="1"/>
      <protection locked="0"/>
    </xf>
    <xf numFmtId="0" fontId="36" fillId="0" borderId="0" xfId="0" applyNumberFormat="1" applyFont="1" applyFill="1" applyAlignment="1" applyProtection="1">
      <alignment horizontal="left" wrapText="1"/>
      <protection locked="0"/>
    </xf>
    <xf numFmtId="0" fontId="36" fillId="0" borderId="0" xfId="0" applyNumberFormat="1" applyFont="1" applyFill="1" applyAlignment="1" applyProtection="1">
      <alignment wrapText="1"/>
      <protection locked="0"/>
    </xf>
    <xf numFmtId="0" fontId="36" fillId="0" borderId="0" xfId="0" applyNumberFormat="1" applyFont="1" applyFill="1" applyAlignment="1" applyProtection="1">
      <alignment vertical="top" wrapText="1"/>
      <protection locked="0"/>
    </xf>
    <xf numFmtId="49" fontId="36" fillId="0" borderId="0" xfId="0" applyNumberFormat="1" applyFont="1" applyFill="1" applyAlignment="1" applyProtection="1">
      <alignment vertical="top" wrapText="1"/>
      <protection locked="0"/>
    </xf>
    <xf numFmtId="49" fontId="37" fillId="0" borderId="0" xfId="0" applyNumberFormat="1" applyFont="1" applyFill="1" applyAlignment="1" applyProtection="1">
      <alignment vertical="top" wrapText="1"/>
      <protection locked="0"/>
    </xf>
    <xf numFmtId="0" fontId="36" fillId="0" borderId="0" xfId="0" applyFont="1" applyAlignment="1" applyProtection="1">
      <alignment wrapText="1"/>
      <protection locked="0"/>
    </xf>
    <xf numFmtId="0" fontId="37" fillId="0" borderId="0" xfId="0" applyFont="1" applyProtection="1">
      <protection locked="0"/>
    </xf>
    <xf numFmtId="49" fontId="36" fillId="0" borderId="0" xfId="0" applyNumberFormat="1" applyFont="1" applyFill="1" applyAlignment="1" applyProtection="1">
      <alignment horizontal="left" vertical="top" wrapText="1"/>
      <protection locked="0"/>
    </xf>
    <xf numFmtId="0" fontId="36" fillId="0" borderId="0" xfId="0" applyNumberFormat="1" applyFont="1" applyFill="1" applyAlignment="1" applyProtection="1">
      <alignment horizontal="left"/>
      <protection locked="0"/>
    </xf>
    <xf numFmtId="0" fontId="36" fillId="0" borderId="0" xfId="0" applyFont="1" applyBorder="1" applyAlignment="1" applyProtection="1">
      <alignment wrapText="1"/>
      <protection locked="0"/>
    </xf>
    <xf numFmtId="0" fontId="50" fillId="0" borderId="11" xfId="0" applyFont="1" applyBorder="1" applyAlignment="1" applyProtection="1">
      <alignment vertical="top" wrapText="1"/>
      <protection locked="0"/>
    </xf>
    <xf numFmtId="0" fontId="36" fillId="0" borderId="15" xfId="0" applyFont="1" applyFill="1" applyBorder="1" applyAlignment="1" applyProtection="1">
      <alignment horizontal="left" vertical="top" wrapText="1"/>
      <protection locked="0"/>
    </xf>
    <xf numFmtId="0" fontId="36" fillId="0" borderId="0" xfId="585" applyNumberFormat="1" applyFont="1" applyAlignment="1" applyProtection="1">
      <alignment horizontal="left" vertical="top" wrapText="1"/>
      <protection locked="0"/>
    </xf>
    <xf numFmtId="0" fontId="37" fillId="0" borderId="0" xfId="585" applyNumberFormat="1" applyFont="1" applyAlignment="1" applyProtection="1">
      <alignment horizontal="left" vertical="top" wrapText="1"/>
      <protection locked="0"/>
    </xf>
    <xf numFmtId="0" fontId="37" fillId="0" borderId="0" xfId="0" applyFont="1" applyBorder="1" applyAlignment="1" applyProtection="1">
      <alignment vertical="top"/>
      <protection locked="0"/>
    </xf>
    <xf numFmtId="0" fontId="37" fillId="0" borderId="0" xfId="0" applyFont="1" applyFill="1" applyBorder="1" applyAlignment="1" applyProtection="1">
      <alignment vertical="top" wrapText="1"/>
      <protection locked="0"/>
    </xf>
    <xf numFmtId="0" fontId="37" fillId="0" borderId="0" xfId="585" applyNumberFormat="1" applyFont="1" applyBorder="1" applyAlignment="1" applyProtection="1">
      <alignment horizontal="left" vertical="top" wrapText="1"/>
      <protection locked="0"/>
    </xf>
    <xf numFmtId="0" fontId="37" fillId="0" borderId="11" xfId="585" applyNumberFormat="1" applyFont="1" applyBorder="1" applyAlignment="1" applyProtection="1">
      <alignment horizontal="left" vertical="top" wrapText="1"/>
      <protection locked="0"/>
    </xf>
    <xf numFmtId="0" fontId="37" fillId="0" borderId="11" xfId="583" applyFont="1" applyBorder="1" applyAlignment="1" applyProtection="1">
      <alignment vertical="top" wrapText="1"/>
      <protection locked="0"/>
    </xf>
    <xf numFmtId="0" fontId="37" fillId="0" borderId="16" xfId="0" applyFont="1" applyBorder="1" applyAlignment="1" applyProtection="1">
      <alignment vertical="top" wrapText="1"/>
      <protection locked="0"/>
    </xf>
    <xf numFmtId="4" fontId="37" fillId="0" borderId="0" xfId="0" applyNumberFormat="1" applyFont="1" applyFill="1" applyBorder="1" applyAlignment="1" applyProtection="1">
      <alignment horizontal="center"/>
      <protection locked="0"/>
    </xf>
    <xf numFmtId="4" fontId="37" fillId="0" borderId="11" xfId="0" applyNumberFormat="1" applyFont="1" applyFill="1" applyBorder="1" applyAlignment="1" applyProtection="1">
      <alignment horizontal="center"/>
      <protection locked="0"/>
    </xf>
    <xf numFmtId="4" fontId="37" fillId="0" borderId="0" xfId="0" applyNumberFormat="1" applyFont="1" applyBorder="1" applyAlignment="1" applyProtection="1">
      <alignment horizontal="center"/>
      <protection locked="0"/>
    </xf>
    <xf numFmtId="4" fontId="37" fillId="0" borderId="11" xfId="0" applyNumberFormat="1" applyFont="1" applyBorder="1" applyAlignment="1" applyProtection="1">
      <alignment horizontal="center"/>
      <protection locked="0"/>
    </xf>
    <xf numFmtId="4" fontId="37" fillId="0" borderId="0" xfId="581" applyNumberFormat="1" applyFont="1" applyBorder="1" applyAlignment="1" applyProtection="1">
      <alignment horizontal="center"/>
      <protection locked="0"/>
    </xf>
    <xf numFmtId="4" fontId="3" fillId="0" borderId="0" xfId="0" applyNumberFormat="1" applyFont="1" applyAlignment="1" applyProtection="1">
      <alignment horizontal="center" vertical="center"/>
      <protection locked="0"/>
    </xf>
    <xf numFmtId="43" fontId="99" fillId="33" borderId="0" xfId="579" applyNumberFormat="1" applyFont="1" applyFill="1" applyBorder="1" applyAlignment="1" applyProtection="1">
      <alignment horizontal="center"/>
      <protection locked="0"/>
    </xf>
    <xf numFmtId="43" fontId="37" fillId="0" borderId="0" xfId="579" applyNumberFormat="1" applyFont="1" applyFill="1" applyBorder="1" applyAlignment="1" applyProtection="1">
      <alignment horizontal="center"/>
      <protection locked="0"/>
    </xf>
    <xf numFmtId="43" fontId="99" fillId="33" borderId="0" xfId="0" applyNumberFormat="1" applyFont="1" applyFill="1" applyBorder="1" applyAlignment="1" applyProtection="1">
      <alignment horizontal="center"/>
      <protection locked="0"/>
    </xf>
    <xf numFmtId="43" fontId="100" fillId="0" borderId="0" xfId="579" applyNumberFormat="1" applyFont="1" applyFill="1" applyBorder="1" applyAlignment="1" applyProtection="1">
      <alignment horizontal="center"/>
      <protection locked="0"/>
    </xf>
    <xf numFmtId="43" fontId="100" fillId="0" borderId="0" xfId="579" applyNumberFormat="1" applyFont="1" applyFill="1" applyAlignment="1" applyProtection="1">
      <alignment horizontal="center"/>
      <protection locked="0"/>
    </xf>
    <xf numFmtId="43" fontId="100" fillId="0" borderId="0" xfId="579" applyNumberFormat="1"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vertical="top" wrapText="1"/>
      <protection locked="0"/>
    </xf>
    <xf numFmtId="43" fontId="100" fillId="0" borderId="0" xfId="0" applyNumberFormat="1" applyFont="1" applyFill="1" applyBorder="1" applyAlignment="1" applyProtection="1">
      <alignment horizontal="center"/>
      <protection locked="0"/>
    </xf>
    <xf numFmtId="43" fontId="100" fillId="0" borderId="0" xfId="579" applyNumberFormat="1" applyFont="1" applyAlignment="1" applyProtection="1">
      <alignment horizontal="center"/>
      <protection locked="0"/>
    </xf>
    <xf numFmtId="43" fontId="100" fillId="0" borderId="0" xfId="0" applyNumberFormat="1" applyFont="1" applyFill="1" applyBorder="1" applyAlignment="1" applyProtection="1">
      <alignment horizontal="center" wrapText="1"/>
      <protection locked="0"/>
    </xf>
    <xf numFmtId="4" fontId="99" fillId="33" borderId="0" xfId="0" applyNumberFormat="1" applyFont="1" applyFill="1" applyBorder="1" applyAlignment="1" applyProtection="1">
      <alignment horizontal="center"/>
      <protection locked="0"/>
    </xf>
    <xf numFmtId="167" fontId="37" fillId="0" borderId="0" xfId="0" applyNumberFormat="1" applyFont="1" applyFill="1" applyBorder="1" applyAlignment="1" applyProtection="1">
      <alignment horizontal="center" wrapText="1"/>
      <protection locked="0"/>
    </xf>
    <xf numFmtId="167" fontId="37" fillId="0" borderId="11" xfId="0" applyNumberFormat="1" applyFont="1" applyFill="1" applyBorder="1" applyAlignment="1" applyProtection="1">
      <alignment horizontal="center" wrapText="1"/>
      <protection locked="0"/>
    </xf>
    <xf numFmtId="168" fontId="37" fillId="0" borderId="0" xfId="0" applyNumberFormat="1" applyFont="1" applyFill="1" applyBorder="1" applyAlignment="1" applyProtection="1">
      <alignment horizontal="center"/>
      <protection locked="0"/>
    </xf>
    <xf numFmtId="168" fontId="37" fillId="0" borderId="0" xfId="0" applyNumberFormat="1" applyFont="1" applyFill="1" applyAlignment="1" applyProtection="1">
      <alignment horizontal="center"/>
      <protection locked="0"/>
    </xf>
    <xf numFmtId="168" fontId="37" fillId="0" borderId="0" xfId="0" applyNumberFormat="1" applyFont="1" applyFill="1" applyBorder="1" applyAlignment="1" applyProtection="1">
      <alignment horizontal="center" vertical="top" wrapText="1"/>
      <protection locked="0"/>
    </xf>
    <xf numFmtId="168" fontId="37" fillId="0" borderId="0" xfId="579" applyNumberFormat="1" applyFont="1" applyAlignment="1" applyProtection="1">
      <alignment horizontal="center"/>
      <protection locked="0"/>
    </xf>
    <xf numFmtId="168" fontId="37" fillId="0" borderId="0" xfId="0" applyNumberFormat="1" applyFont="1" applyFill="1" applyBorder="1" applyAlignment="1" applyProtection="1">
      <alignment horizontal="center" wrapText="1"/>
      <protection locked="0"/>
    </xf>
    <xf numFmtId="0" fontId="50" fillId="0" borderId="0" xfId="0" applyFont="1" applyBorder="1" applyAlignment="1" applyProtection="1">
      <alignment horizontal="center" vertical="top" wrapText="1"/>
      <protection locked="0"/>
    </xf>
    <xf numFmtId="168" fontId="37" fillId="0" borderId="0" xfId="0" applyNumberFormat="1" applyFont="1" applyAlignment="1" applyProtection="1">
      <alignment horizontal="center" vertical="center"/>
      <protection locked="0"/>
    </xf>
    <xf numFmtId="168" fontId="37" fillId="0" borderId="0" xfId="583" applyNumberFormat="1" applyFont="1" applyBorder="1" applyAlignment="1" applyProtection="1">
      <alignment horizontal="center"/>
      <protection locked="0"/>
    </xf>
    <xf numFmtId="4" fontId="37" fillId="0" borderId="15" xfId="0" applyNumberFormat="1" applyFont="1" applyBorder="1" applyAlignment="1" applyProtection="1">
      <alignment horizontal="center"/>
      <protection locked="0"/>
    </xf>
    <xf numFmtId="0" fontId="37" fillId="0" borderId="0" xfId="0" applyFont="1" applyFill="1" applyBorder="1" applyAlignment="1" applyProtection="1">
      <alignment horizontal="center"/>
      <protection locked="0"/>
    </xf>
    <xf numFmtId="4" fontId="37" fillId="0" borderId="0" xfId="583" applyNumberFormat="1" applyFont="1" applyBorder="1" applyAlignment="1" applyProtection="1">
      <alignment horizontal="center"/>
      <protection locked="0"/>
    </xf>
    <xf numFmtId="4" fontId="37" fillId="0" borderId="11" xfId="583" applyNumberFormat="1" applyFont="1" applyBorder="1" applyAlignment="1" applyProtection="1">
      <alignment horizontal="center"/>
      <protection locked="0"/>
    </xf>
    <xf numFmtId="4" fontId="40" fillId="0" borderId="0" xfId="0" applyNumberFormat="1" applyFont="1" applyFill="1" applyBorder="1" applyAlignment="1" applyProtection="1">
      <alignment vertical="top" wrapText="1"/>
    </xf>
    <xf numFmtId="4" fontId="40" fillId="0" borderId="0" xfId="0" applyNumberFormat="1" applyFont="1" applyBorder="1" applyAlignment="1" applyProtection="1">
      <alignment vertical="top" wrapText="1"/>
    </xf>
    <xf numFmtId="0" fontId="36" fillId="0" borderId="0" xfId="0" applyFont="1" applyFill="1" applyBorder="1" applyAlignment="1" applyProtection="1">
      <alignment horizontal="left" vertical="top" wrapText="1"/>
      <protection locked="0"/>
    </xf>
    <xf numFmtId="0" fontId="37" fillId="0" borderId="0" xfId="0" applyFont="1" applyBorder="1" applyAlignment="1" applyProtection="1">
      <alignment horizontal="right" wrapText="1"/>
      <protection locked="0"/>
    </xf>
    <xf numFmtId="4" fontId="36" fillId="34" borderId="52" xfId="0" applyNumberFormat="1" applyFont="1" applyFill="1" applyBorder="1" applyAlignment="1" applyProtection="1">
      <alignment horizontal="center"/>
    </xf>
    <xf numFmtId="4" fontId="37" fillId="0" borderId="0" xfId="0" applyNumberFormat="1" applyFont="1" applyFill="1" applyBorder="1" applyAlignment="1" applyProtection="1">
      <alignment horizontal="center" wrapText="1"/>
      <protection locked="0"/>
    </xf>
    <xf numFmtId="4" fontId="40" fillId="0" borderId="0" xfId="0" applyNumberFormat="1" applyFont="1" applyFill="1" applyBorder="1" applyAlignment="1" applyProtection="1">
      <alignment horizontal="center" vertical="top" wrapText="1"/>
      <protection locked="0"/>
    </xf>
    <xf numFmtId="4" fontId="37" fillId="0" borderId="0" xfId="0" applyNumberFormat="1" applyFont="1" applyFill="1" applyBorder="1" applyAlignment="1" applyProtection="1">
      <alignment horizontal="center" vertical="top" wrapText="1"/>
      <protection locked="0"/>
    </xf>
    <xf numFmtId="49" fontId="37" fillId="0" borderId="15" xfId="0" applyNumberFormat="1" applyFont="1" applyFill="1" applyBorder="1" applyAlignment="1" applyProtection="1">
      <alignment horizontal="left" vertical="top" wrapText="1"/>
    </xf>
    <xf numFmtId="0" fontId="36" fillId="0" borderId="15" xfId="0" applyFont="1" applyFill="1" applyBorder="1" applyAlignment="1" applyProtection="1">
      <alignment horizontal="left" vertical="top" wrapText="1"/>
    </xf>
    <xf numFmtId="2" fontId="37" fillId="0" borderId="15" xfId="0" applyNumberFormat="1" applyFont="1" applyFill="1" applyBorder="1" applyAlignment="1" applyProtection="1">
      <alignment horizontal="center" wrapText="1"/>
    </xf>
    <xf numFmtId="4" fontId="40" fillId="0" borderId="15" xfId="0" applyNumberFormat="1" applyFont="1" applyFill="1" applyBorder="1" applyAlignment="1" applyProtection="1">
      <alignment horizontal="center" vertical="top" wrapText="1"/>
      <protection locked="0"/>
    </xf>
    <xf numFmtId="4" fontId="37" fillId="0" borderId="15" xfId="0" applyNumberFormat="1" applyFont="1" applyFill="1" applyBorder="1" applyAlignment="1" applyProtection="1">
      <alignment vertical="top" wrapText="1"/>
    </xf>
    <xf numFmtId="4" fontId="33" fillId="0" borderId="15" xfId="0" applyNumberFormat="1" applyFont="1" applyBorder="1" applyAlignment="1" applyProtection="1">
      <alignment vertical="top" wrapText="1"/>
    </xf>
    <xf numFmtId="0" fontId="37" fillId="0" borderId="0" xfId="0" applyFont="1" applyFill="1" applyBorder="1" applyAlignment="1" applyProtection="1">
      <alignment horizontal="center" vertical="top" wrapText="1"/>
      <protection locked="0"/>
    </xf>
    <xf numFmtId="0" fontId="40" fillId="0" borderId="0" xfId="0" applyNumberFormat="1" applyFont="1" applyAlignment="1">
      <alignment horizontal="justify" vertical="top" wrapText="1"/>
    </xf>
    <xf numFmtId="0" fontId="33" fillId="0" borderId="0" xfId="0" applyNumberFormat="1" applyFont="1" applyAlignment="1">
      <alignment horizontal="left" vertical="top" wrapText="1"/>
    </xf>
    <xf numFmtId="2" fontId="40" fillId="0" borderId="0" xfId="384" applyNumberFormat="1" applyFont="1" applyAlignment="1" applyProtection="1">
      <alignment horizontal="left" vertical="top" wrapText="1"/>
    </xf>
    <xf numFmtId="0" fontId="33" fillId="0" borderId="0" xfId="377" applyFont="1" applyFill="1" applyBorder="1" applyAlignment="1">
      <alignment horizontal="left" vertical="top" wrapText="1"/>
    </xf>
    <xf numFmtId="0" fontId="33" fillId="0" borderId="0" xfId="377" applyFont="1" applyFill="1" applyBorder="1" applyAlignment="1">
      <alignment horizontal="left" vertical="top"/>
    </xf>
    <xf numFmtId="0" fontId="74" fillId="0" borderId="0" xfId="377" applyFont="1" applyAlignment="1" applyProtection="1">
      <alignment horizontal="left"/>
    </xf>
    <xf numFmtId="0" fontId="73" fillId="0" borderId="0" xfId="0" applyNumberFormat="1" applyFont="1" applyAlignment="1">
      <alignment horizontal="justify" vertical="top" wrapText="1"/>
    </xf>
    <xf numFmtId="0" fontId="40" fillId="0" borderId="0" xfId="0" applyNumberFormat="1" applyFont="1" applyAlignment="1">
      <alignment horizontal="left" vertical="top" wrapText="1"/>
    </xf>
    <xf numFmtId="0" fontId="54" fillId="0" borderId="0" xfId="0" applyFont="1" applyFill="1" applyBorder="1" applyAlignment="1">
      <alignment horizontal="justify" wrapText="1"/>
    </xf>
    <xf numFmtId="0" fontId="55" fillId="0" borderId="0" xfId="0" applyFont="1" applyBorder="1" applyAlignment="1" applyProtection="1">
      <alignment horizontal="left" vertical="top" wrapText="1"/>
    </xf>
    <xf numFmtId="0" fontId="33" fillId="0" borderId="0" xfId="377" applyFont="1" applyBorder="1" applyAlignment="1">
      <alignment horizontal="left" vertical="top" wrapText="1"/>
    </xf>
    <xf numFmtId="0" fontId="77" fillId="28" borderId="0" xfId="0" applyFont="1" applyFill="1" applyBorder="1" applyAlignment="1">
      <alignment horizontal="center" vertical="center" wrapText="1"/>
    </xf>
    <xf numFmtId="0" fontId="77" fillId="28" borderId="11" xfId="0" applyFont="1" applyFill="1" applyBorder="1" applyAlignment="1">
      <alignment horizontal="center" vertical="center" wrapText="1"/>
    </xf>
    <xf numFmtId="0" fontId="0" fillId="27" borderId="0" xfId="0" applyFill="1" applyAlignment="1">
      <alignment horizontal="center"/>
    </xf>
    <xf numFmtId="0" fontId="77" fillId="31" borderId="11" xfId="0" applyFont="1" applyFill="1" applyBorder="1" applyAlignment="1">
      <alignment horizontal="center" vertical="center" wrapText="1"/>
    </xf>
    <xf numFmtId="0" fontId="77" fillId="0" borderId="0" xfId="0" applyFont="1" applyBorder="1" applyAlignment="1">
      <alignment horizontal="center" vertical="center" wrapText="1"/>
    </xf>
    <xf numFmtId="0" fontId="77" fillId="0" borderId="11" xfId="0" applyFont="1" applyBorder="1" applyAlignment="1">
      <alignment horizontal="center" vertical="center" wrapText="1"/>
    </xf>
    <xf numFmtId="0" fontId="77" fillId="27" borderId="0" xfId="0" applyFont="1" applyFill="1" applyBorder="1" applyAlignment="1">
      <alignment horizontal="center" vertical="center" wrapText="1"/>
    </xf>
    <xf numFmtId="0" fontId="77" fillId="27" borderId="11" xfId="0" applyFont="1" applyFill="1" applyBorder="1" applyAlignment="1">
      <alignment horizontal="center" vertical="center" wrapText="1"/>
    </xf>
    <xf numFmtId="0" fontId="77" fillId="28" borderId="20" xfId="0" applyFont="1" applyFill="1" applyBorder="1" applyAlignment="1">
      <alignment horizontal="center" vertical="center" wrapText="1"/>
    </xf>
    <xf numFmtId="0" fontId="77" fillId="28" borderId="22" xfId="0" applyFont="1" applyFill="1" applyBorder="1" applyAlignment="1">
      <alignment horizontal="center" vertical="center" wrapText="1"/>
    </xf>
    <xf numFmtId="0" fontId="77" fillId="28" borderId="18" xfId="0" applyFont="1" applyFill="1" applyBorder="1" applyAlignment="1">
      <alignment horizontal="center" vertical="center" wrapText="1"/>
    </xf>
    <xf numFmtId="0" fontId="77" fillId="28" borderId="23" xfId="0" applyFont="1" applyFill="1" applyBorder="1" applyAlignment="1">
      <alignment horizontal="center" vertical="center" wrapText="1"/>
    </xf>
    <xf numFmtId="0" fontId="0" fillId="28" borderId="0" xfId="0" applyFill="1" applyAlignment="1">
      <alignment horizontal="center"/>
    </xf>
    <xf numFmtId="0" fontId="77" fillId="27" borderId="21" xfId="0" applyFont="1" applyFill="1" applyBorder="1" applyAlignment="1">
      <alignment horizontal="center" vertical="center" wrapText="1"/>
    </xf>
    <xf numFmtId="0" fontId="77" fillId="27" borderId="24" xfId="0" applyFont="1" applyFill="1" applyBorder="1" applyAlignment="1">
      <alignment horizontal="center" vertical="center" wrapText="1"/>
    </xf>
    <xf numFmtId="0" fontId="77" fillId="29" borderId="11" xfId="0" applyFont="1" applyFill="1" applyBorder="1" applyAlignment="1">
      <alignment horizontal="center" vertical="center" wrapText="1"/>
    </xf>
    <xf numFmtId="0" fontId="91" fillId="0" borderId="0" xfId="0" applyNumberFormat="1" applyFont="1" applyFill="1" applyBorder="1" applyAlignment="1" applyProtection="1">
      <alignment horizontal="center" vertical="center" wrapText="1"/>
      <protection locked="0"/>
    </xf>
    <xf numFmtId="0" fontId="4" fillId="0" borderId="0" xfId="0" applyFont="1" applyBorder="1" applyAlignment="1">
      <alignment horizontal="left" vertical="center" wrapText="1"/>
    </xf>
    <xf numFmtId="0" fontId="49" fillId="0" borderId="0" xfId="0" applyFont="1" applyFill="1" applyBorder="1" applyAlignment="1">
      <alignment horizontal="left" vertical="center" wrapText="1"/>
    </xf>
    <xf numFmtId="166" fontId="32" fillId="0" borderId="0" xfId="0" applyNumberFormat="1" applyFont="1" applyFill="1" applyBorder="1" applyAlignment="1">
      <alignment horizontal="left" vertical="top" wrapText="1"/>
    </xf>
    <xf numFmtId="167" fontId="32" fillId="0" borderId="0" xfId="0" applyNumberFormat="1" applyFont="1" applyFill="1" applyBorder="1" applyAlignment="1">
      <alignment horizontal="right" wrapText="1"/>
    </xf>
    <xf numFmtId="4" fontId="33" fillId="0" borderId="0" xfId="0" applyNumberFormat="1" applyFont="1" applyFill="1" applyBorder="1" applyAlignment="1">
      <alignment horizontal="center"/>
    </xf>
    <xf numFmtId="0" fontId="33" fillId="0" borderId="0" xfId="0" applyFont="1" applyBorder="1" applyAlignment="1"/>
    <xf numFmtId="166" fontId="93" fillId="0" borderId="0" xfId="0" applyNumberFormat="1" applyFont="1" applyFill="1" applyBorder="1" applyAlignment="1">
      <alignment horizontal="center" vertical="top" wrapText="1"/>
    </xf>
    <xf numFmtId="166" fontId="32" fillId="0" borderId="0" xfId="0" applyNumberFormat="1" applyFont="1" applyFill="1" applyBorder="1" applyAlignment="1">
      <alignment horizontal="center" vertical="top" wrapText="1"/>
    </xf>
    <xf numFmtId="4" fontId="37" fillId="0" borderId="0" xfId="0" applyNumberFormat="1" applyFont="1" applyFill="1" applyBorder="1" applyAlignment="1">
      <alignment horizontal="right" vertical="top" wrapText="1"/>
    </xf>
    <xf numFmtId="166" fontId="94" fillId="0" borderId="0" xfId="0" applyNumberFormat="1" applyFont="1" applyFill="1" applyBorder="1" applyAlignment="1">
      <alignment horizontal="left" vertical="top" wrapText="1"/>
    </xf>
    <xf numFmtId="166" fontId="94" fillId="0" borderId="11" xfId="0" applyNumberFormat="1" applyFont="1" applyFill="1" applyBorder="1" applyAlignment="1">
      <alignment horizontal="left" vertical="top" wrapText="1"/>
    </xf>
    <xf numFmtId="4" fontId="37" fillId="0" borderId="11" xfId="0" applyNumberFormat="1" applyFont="1" applyFill="1" applyBorder="1" applyAlignment="1">
      <alignment horizontal="right" vertical="top" wrapText="1"/>
    </xf>
    <xf numFmtId="0" fontId="33" fillId="0" borderId="0" xfId="0" applyFont="1" applyFill="1" applyBorder="1" applyAlignment="1">
      <alignment horizontal="center" vertical="top" wrapText="1"/>
    </xf>
    <xf numFmtId="4" fontId="40" fillId="0" borderId="0" xfId="0" applyNumberFormat="1" applyFont="1" applyFill="1" applyBorder="1" applyAlignment="1">
      <alignment horizontal="center"/>
    </xf>
    <xf numFmtId="0" fontId="40" fillId="0" borderId="0" xfId="0" applyFont="1" applyBorder="1" applyAlignment="1"/>
    <xf numFmtId="0" fontId="36" fillId="0" borderId="0" xfId="0" applyFont="1" applyFill="1" applyBorder="1" applyAlignment="1">
      <alignment horizontal="left" vertical="top" wrapText="1"/>
    </xf>
    <xf numFmtId="0" fontId="95" fillId="0" borderId="0" xfId="0" applyFont="1" applyAlignment="1">
      <alignment horizontal="justify" vertical="top" wrapText="1"/>
    </xf>
    <xf numFmtId="0" fontId="37" fillId="0" borderId="0" xfId="0" applyFont="1" applyBorder="1" applyAlignment="1" applyProtection="1">
      <alignment horizontal="center" wrapText="1"/>
    </xf>
    <xf numFmtId="166" fontId="93" fillId="0" borderId="0" xfId="0" applyNumberFormat="1" applyFont="1" applyFill="1" applyBorder="1" applyAlignment="1" applyProtection="1">
      <alignment horizontal="center" vertical="top" wrapText="1"/>
    </xf>
    <xf numFmtId="166" fontId="32" fillId="0" borderId="0" xfId="0" applyNumberFormat="1" applyFont="1" applyFill="1" applyBorder="1" applyAlignment="1" applyProtection="1">
      <alignment horizontal="center" vertical="top" wrapText="1"/>
    </xf>
    <xf numFmtId="4" fontId="37" fillId="0" borderId="0" xfId="0" applyNumberFormat="1" applyFont="1" applyFill="1" applyBorder="1" applyAlignment="1" applyProtection="1">
      <alignment horizontal="right" vertical="top" wrapText="1"/>
    </xf>
    <xf numFmtId="166" fontId="94" fillId="0" borderId="0" xfId="0" applyNumberFormat="1" applyFont="1" applyFill="1" applyBorder="1" applyAlignment="1" applyProtection="1">
      <alignment horizontal="left" vertical="top" wrapText="1"/>
    </xf>
    <xf numFmtId="166" fontId="94" fillId="0" borderId="11" xfId="0" applyNumberFormat="1" applyFont="1" applyFill="1" applyBorder="1" applyAlignment="1" applyProtection="1">
      <alignment horizontal="left" vertical="top" wrapText="1"/>
    </xf>
    <xf numFmtId="4" fontId="37" fillId="0" borderId="11" xfId="0" applyNumberFormat="1" applyFont="1" applyFill="1" applyBorder="1" applyAlignment="1" applyProtection="1">
      <alignment horizontal="right" vertical="top" wrapText="1"/>
    </xf>
    <xf numFmtId="166" fontId="32" fillId="0" borderId="0" xfId="0" applyNumberFormat="1" applyFont="1" applyFill="1" applyBorder="1" applyAlignment="1" applyProtection="1">
      <alignment horizontal="left" vertical="top" wrapText="1"/>
    </xf>
    <xf numFmtId="4" fontId="37" fillId="0" borderId="0" xfId="0" applyNumberFormat="1" applyFont="1" applyFill="1" applyBorder="1" applyAlignment="1" applyProtection="1">
      <alignment wrapText="1"/>
    </xf>
    <xf numFmtId="0" fontId="33" fillId="0" borderId="0" xfId="0" applyFont="1" applyFill="1" applyBorder="1" applyAlignment="1" applyProtection="1">
      <alignment horizontal="center" vertical="top" wrapText="1"/>
    </xf>
    <xf numFmtId="4" fontId="37" fillId="0" borderId="0" xfId="0" applyNumberFormat="1" applyFont="1" applyFill="1" applyBorder="1" applyAlignment="1" applyProtection="1">
      <alignment horizontal="center"/>
    </xf>
    <xf numFmtId="0" fontId="37" fillId="0" borderId="0" xfId="0" applyFont="1" applyBorder="1" applyAlignment="1" applyProtection="1"/>
    <xf numFmtId="4" fontId="36" fillId="0" borderId="0" xfId="0" applyNumberFormat="1" applyFont="1" applyFill="1" applyBorder="1" applyAlignment="1" applyProtection="1">
      <alignment horizontal="center"/>
    </xf>
    <xf numFmtId="0" fontId="36" fillId="0" borderId="0" xfId="0" applyFont="1" applyBorder="1" applyAlignment="1" applyProtection="1"/>
    <xf numFmtId="166" fontId="32" fillId="0" borderId="0" xfId="0" applyNumberFormat="1" applyFont="1" applyFill="1" applyBorder="1" applyAlignment="1" applyProtection="1">
      <alignment vertical="top" wrapText="1"/>
    </xf>
    <xf numFmtId="4" fontId="0" fillId="0" borderId="0" xfId="0" applyNumberFormat="1" applyProtection="1"/>
  </cellXfs>
  <cellStyles count="587">
    <cellStyle name=" 1" xfId="401"/>
    <cellStyle name="_STAMBENI DIO" xfId="1"/>
    <cellStyle name="_STAMBENI DIO_2009_06_03_tender_politin_PARCELACIJA - S formom" xfId="2"/>
    <cellStyle name="_STAMBENI DIO_B - Radovi" xfId="402"/>
    <cellStyle name="_STAMBENI DIO_D Strojarski radovi - Parentino Residence" xfId="3"/>
    <cellStyle name="_STAMBENI DIO_D Strojarski radovi - Parentino Residence_B - Radovi" xfId="403"/>
    <cellStyle name="_troškovnik" xfId="4"/>
    <cellStyle name="_troškovnik_2009_06_02_tender_jezevac_PARCELACIJA  -s formom" xfId="5"/>
    <cellStyle name="_troškovnik_2009_06_02_tender_jezevac_PARCELACIJA  -s formom_B - Radovi" xfId="404"/>
    <cellStyle name="_troškovnik_2009_06_03_tender_politin_PARCELACIJA - S formom" xfId="6"/>
    <cellStyle name="_troškovnik_2009_06_03_tender_politin_PARCELACIJA - S formom_B - Radovi" xfId="405"/>
    <cellStyle name="_troškovnik_B - Radovi" xfId="406"/>
    <cellStyle name="_troškovnik_D Strojarski radovi - Parentino Residence" xfId="7"/>
    <cellStyle name="_troškovnik_D Strojarski radovi - Parentino Residence_B - Radovi" xfId="407"/>
    <cellStyle name="20% - Isticanje1" xfId="8"/>
    <cellStyle name="20% - Isticanje2" xfId="9"/>
    <cellStyle name="20% - Isticanje3" xfId="10"/>
    <cellStyle name="20% - Isticanje4" xfId="11"/>
    <cellStyle name="20% - Isticanje5" xfId="12"/>
    <cellStyle name="20% - Isticanje6" xfId="13"/>
    <cellStyle name="40% - Isticanje2" xfId="14"/>
    <cellStyle name="40% - Isticanje3" xfId="15"/>
    <cellStyle name="40% - Isticanje4" xfId="16"/>
    <cellStyle name="40% - Isticanje5" xfId="17"/>
    <cellStyle name="40% - Isticanje6" xfId="18"/>
    <cellStyle name="40% - Naglasak1" xfId="19"/>
    <cellStyle name="60% - Isticanje1" xfId="20"/>
    <cellStyle name="60% - Isticanje2" xfId="21"/>
    <cellStyle name="60% - Isticanje3" xfId="22"/>
    <cellStyle name="60% - Isticanje4" xfId="23"/>
    <cellStyle name="60% - Isticanje5" xfId="24"/>
    <cellStyle name="60% - Isticanje6" xfId="25"/>
    <cellStyle name="Bilješka" xfId="26"/>
    <cellStyle name="Bilješka 10" xfId="27"/>
    <cellStyle name="Bilješka 10 2" xfId="408"/>
    <cellStyle name="Bilješka 11" xfId="28"/>
    <cellStyle name="Bilješka 11 2" xfId="409"/>
    <cellStyle name="Bilješka 12" xfId="29"/>
    <cellStyle name="Bilješka 12 2" xfId="410"/>
    <cellStyle name="Bilješka 13" xfId="30"/>
    <cellStyle name="Bilješka 13 2" xfId="411"/>
    <cellStyle name="Bilješka 14" xfId="31"/>
    <cellStyle name="Bilješka 14 2" xfId="412"/>
    <cellStyle name="Bilješka 15" xfId="32"/>
    <cellStyle name="Bilješka 15 2" xfId="413"/>
    <cellStyle name="Bilješka 16" xfId="33"/>
    <cellStyle name="Bilješka 16 2" xfId="414"/>
    <cellStyle name="Bilješka 17" xfId="34"/>
    <cellStyle name="Bilješka 18" xfId="35"/>
    <cellStyle name="Bilješka 19" xfId="36"/>
    <cellStyle name="Bilješka 2" xfId="37"/>
    <cellStyle name="Bilješka 2 2" xfId="38"/>
    <cellStyle name="Bilješka 2 3" xfId="39"/>
    <cellStyle name="Bilješka 2 4" xfId="415"/>
    <cellStyle name="Bilješka 2_2009_06_02_tender_jezevac_PARCELACIJA  -s formom" xfId="40"/>
    <cellStyle name="Bilješka 20" xfId="41"/>
    <cellStyle name="Bilješka 21" xfId="42"/>
    <cellStyle name="Bilješka 22" xfId="43"/>
    <cellStyle name="Bilješka 23" xfId="44"/>
    <cellStyle name="Bilješka 24" xfId="45"/>
    <cellStyle name="Bilješka 25" xfId="46"/>
    <cellStyle name="Bilješka 26" xfId="47"/>
    <cellStyle name="Bilješka 27" xfId="48"/>
    <cellStyle name="Bilješka 28" xfId="49"/>
    <cellStyle name="Bilješka 29" xfId="50"/>
    <cellStyle name="Bilješka 3" xfId="51"/>
    <cellStyle name="Bilješka 3 2" xfId="416"/>
    <cellStyle name="Bilješka 30" xfId="52"/>
    <cellStyle name="Bilješka 31" xfId="53"/>
    <cellStyle name="Bilješka 32" xfId="54"/>
    <cellStyle name="Bilješka 33" xfId="55"/>
    <cellStyle name="Bilješka 34" xfId="56"/>
    <cellStyle name="Bilješka 35" xfId="57"/>
    <cellStyle name="Bilješka 36" xfId="58"/>
    <cellStyle name="Bilješka 37" xfId="59"/>
    <cellStyle name="Bilješka 38" xfId="60"/>
    <cellStyle name="Bilješka 39" xfId="61"/>
    <cellStyle name="Bilješka 4" xfId="62"/>
    <cellStyle name="Bilješka 4 2" xfId="417"/>
    <cellStyle name="Bilješka 40" xfId="63"/>
    <cellStyle name="Bilješka 41" xfId="64"/>
    <cellStyle name="Bilješka 42" xfId="65"/>
    <cellStyle name="Bilješka 42 2" xfId="418"/>
    <cellStyle name="Bilješka 43" xfId="66"/>
    <cellStyle name="Bilješka 43 2" xfId="419"/>
    <cellStyle name="Bilješka 44" xfId="67"/>
    <cellStyle name="Bilješka 44 2" xfId="420"/>
    <cellStyle name="Bilješka 45" xfId="68"/>
    <cellStyle name="Bilješka 45 2" xfId="421"/>
    <cellStyle name="Bilješka 46" xfId="69"/>
    <cellStyle name="Bilješka 46 2" xfId="422"/>
    <cellStyle name="Bilješka 47" xfId="70"/>
    <cellStyle name="Bilješka 47 2" xfId="423"/>
    <cellStyle name="Bilješka 48" xfId="71"/>
    <cellStyle name="Bilješka 48 2" xfId="424"/>
    <cellStyle name="Bilješka 49" xfId="72"/>
    <cellStyle name="Bilješka 49 2" xfId="425"/>
    <cellStyle name="Bilješka 5" xfId="73"/>
    <cellStyle name="Bilješka 5 2" xfId="426"/>
    <cellStyle name="Bilješka 50" xfId="74"/>
    <cellStyle name="Bilješka 50 2" xfId="427"/>
    <cellStyle name="Bilješka 51" xfId="75"/>
    <cellStyle name="Bilješka 51 2" xfId="428"/>
    <cellStyle name="Bilješka 6" xfId="76"/>
    <cellStyle name="Bilješka 6 2" xfId="429"/>
    <cellStyle name="Bilješka 7" xfId="77"/>
    <cellStyle name="Bilješka 7 2" xfId="430"/>
    <cellStyle name="Bilješka 8" xfId="78"/>
    <cellStyle name="Bilješka 8 2" xfId="431"/>
    <cellStyle name="Bilješka 9" xfId="79"/>
    <cellStyle name="Bilješka 9 2" xfId="432"/>
    <cellStyle name="Bilješka_2009_06_02_tender_jezevac_PARCELACIJA  -s formom" xfId="80"/>
    <cellStyle name="cijene" xfId="81"/>
    <cellStyle name="Comma" xfId="586" builtinId="3"/>
    <cellStyle name="Comma 10" xfId="82"/>
    <cellStyle name="Comma 11" xfId="83"/>
    <cellStyle name="Comma 12" xfId="84"/>
    <cellStyle name="Comma 13" xfId="85"/>
    <cellStyle name="Comma 14" xfId="86"/>
    <cellStyle name="Comma 15" xfId="87"/>
    <cellStyle name="Comma 16" xfId="88"/>
    <cellStyle name="Comma 17" xfId="89"/>
    <cellStyle name="Comma 18" xfId="90"/>
    <cellStyle name="Comma 19" xfId="91"/>
    <cellStyle name="Comma 2" xfId="92"/>
    <cellStyle name="Comma 2 2" xfId="433"/>
    <cellStyle name="Comma 20" xfId="93"/>
    <cellStyle name="Comma 21" xfId="94"/>
    <cellStyle name="Comma 22" xfId="95"/>
    <cellStyle name="Comma 23" xfId="96"/>
    <cellStyle name="Comma 24" xfId="97"/>
    <cellStyle name="Comma 25" xfId="98"/>
    <cellStyle name="Comma 26" xfId="99"/>
    <cellStyle name="Comma 27" xfId="100"/>
    <cellStyle name="Comma 28" xfId="101"/>
    <cellStyle name="Comma 29" xfId="102"/>
    <cellStyle name="Comma 3" xfId="103"/>
    <cellStyle name="Comma 3 2" xfId="434"/>
    <cellStyle name="Comma 30" xfId="104"/>
    <cellStyle name="Comma 31" xfId="105"/>
    <cellStyle name="Comma 32" xfId="106"/>
    <cellStyle name="Comma 33" xfId="107"/>
    <cellStyle name="Comma 34" xfId="108"/>
    <cellStyle name="Comma 35" xfId="109"/>
    <cellStyle name="Comma 36" xfId="110"/>
    <cellStyle name="Comma 37" xfId="111"/>
    <cellStyle name="Comma 38" xfId="112"/>
    <cellStyle name="Comma 39" xfId="113"/>
    <cellStyle name="Comma 4" xfId="114"/>
    <cellStyle name="Comma 40" xfId="115"/>
    <cellStyle name="Comma 41" xfId="116"/>
    <cellStyle name="Comma 42" xfId="117"/>
    <cellStyle name="Comma 43" xfId="118"/>
    <cellStyle name="Comma 44" xfId="119"/>
    <cellStyle name="Comma 45" xfId="120"/>
    <cellStyle name="Comma 46" xfId="121"/>
    <cellStyle name="Comma 47" xfId="122"/>
    <cellStyle name="Comma 48" xfId="123"/>
    <cellStyle name="Comma 49" xfId="124"/>
    <cellStyle name="Comma 5" xfId="125"/>
    <cellStyle name="Comma 50" xfId="126"/>
    <cellStyle name="Comma 51" xfId="127"/>
    <cellStyle name="Comma 6" xfId="128"/>
    <cellStyle name="Comma 7" xfId="129"/>
    <cellStyle name="Comma 8" xfId="130"/>
    <cellStyle name="Comma 9" xfId="131"/>
    <cellStyle name="Comma_H.KORALJ  i RUBIN - Tender troškovnik za sobe Ver 01. -24.11.05" xfId="132"/>
    <cellStyle name="Currency" xfId="579" builtinId="4"/>
    <cellStyle name="Dobro" xfId="133"/>
    <cellStyle name="Excel Built-in Normal" xfId="134"/>
    <cellStyle name="Isticanje1" xfId="135"/>
    <cellStyle name="Isticanje2" xfId="136"/>
    <cellStyle name="Isticanje3" xfId="137"/>
    <cellStyle name="Isticanje4" xfId="138"/>
    <cellStyle name="Isticanje5" xfId="139"/>
    <cellStyle name="Isticanje6" xfId="140"/>
    <cellStyle name="Izlaz" xfId="141"/>
    <cellStyle name="Izračun" xfId="142"/>
    <cellStyle name="kolona A" xfId="435"/>
    <cellStyle name="kolona B" xfId="436"/>
    <cellStyle name="kolona C" xfId="437"/>
    <cellStyle name="kolona D" xfId="438"/>
    <cellStyle name="kolona E" xfId="439"/>
    <cellStyle name="kolona F" xfId="440"/>
    <cellStyle name="kolona G" xfId="441"/>
    <cellStyle name="kolona1" xfId="143"/>
    <cellStyle name="kolona2" xfId="144"/>
    <cellStyle name="kolona3" xfId="145"/>
    <cellStyle name="komadi" xfId="146"/>
    <cellStyle name="Loše" xfId="147"/>
    <cellStyle name="merge" xfId="148"/>
    <cellStyle name="nabrajanje" xfId="149"/>
    <cellStyle name="Naslov" xfId="150"/>
    <cellStyle name="Naslov 1" xfId="151"/>
    <cellStyle name="Naslov 1 1" xfId="152"/>
    <cellStyle name="Naslov 1_2009_06_03_tender_politin_PARCELACIJA - S formom" xfId="153"/>
    <cellStyle name="Naslov 2" xfId="154"/>
    <cellStyle name="Naslov 3" xfId="155"/>
    <cellStyle name="Naslov 4" xfId="156"/>
    <cellStyle name="naslov_18-09 ISKOP KAUFLAND" xfId="157"/>
    <cellStyle name="naslov1" xfId="442"/>
    <cellStyle name="naslov2" xfId="443"/>
    <cellStyle name="naslov3" xfId="444"/>
    <cellStyle name="Navadno_023_10Skl-popis_OSNUTEK" xfId="445"/>
    <cellStyle name="Neutralno" xfId="158"/>
    <cellStyle name="Normal" xfId="0" builtinId="0"/>
    <cellStyle name="Normal 10" xfId="159"/>
    <cellStyle name="Normal 10 2" xfId="387"/>
    <cellStyle name="Normal 10 3 5" xfId="400"/>
    <cellStyle name="Normal 10_Jezevac_pecenjara_concept_tender_v_2011060_1" xfId="397"/>
    <cellStyle name="Normal 11" xfId="160"/>
    <cellStyle name="Normal 11 2" xfId="161"/>
    <cellStyle name="Normal 11 2 2" xfId="446"/>
    <cellStyle name="Normal 11 3" xfId="162"/>
    <cellStyle name="Normal 11 3 2" xfId="447"/>
    <cellStyle name="Normal 11 4" xfId="163"/>
    <cellStyle name="Normal 11 4 2" xfId="448"/>
    <cellStyle name="Normal 11 5" xfId="164"/>
    <cellStyle name="Normal 11 5 2" xfId="449"/>
    <cellStyle name="Normal 11 6" xfId="395"/>
    <cellStyle name="Normal 11_B - Radovi" xfId="450"/>
    <cellStyle name="Normal 117" xfId="451"/>
    <cellStyle name="Normal 12" xfId="165"/>
    <cellStyle name="Normal 12 2" xfId="453"/>
    <cellStyle name="Normal 12 3" xfId="452"/>
    <cellStyle name="Normal 12_B - Radovi" xfId="454"/>
    <cellStyle name="Normal 13" xfId="166"/>
    <cellStyle name="Normal 13 2" xfId="456"/>
    <cellStyle name="Normal 13 3" xfId="455"/>
    <cellStyle name="Normal 13_B - Radovi" xfId="457"/>
    <cellStyle name="Normal 14" xfId="167"/>
    <cellStyle name="Normal 14 2" xfId="168"/>
    <cellStyle name="Normal 14 2 2" xfId="459"/>
    <cellStyle name="Normal 14 3" xfId="169"/>
    <cellStyle name="Normal 14 3 2" xfId="460"/>
    <cellStyle name="Normal 14 4" xfId="170"/>
    <cellStyle name="Normal 14 4 2" xfId="461"/>
    <cellStyle name="Normal 14 5" xfId="171"/>
    <cellStyle name="Normal 14 5 2" xfId="462"/>
    <cellStyle name="Normal 14 6" xfId="458"/>
    <cellStyle name="Normal 14_B - Radovi" xfId="463"/>
    <cellStyle name="Normal 15" xfId="172"/>
    <cellStyle name="Normal 15 2" xfId="465"/>
    <cellStyle name="Normal 15 3" xfId="464"/>
    <cellStyle name="Normal 15_B - Radovi" xfId="466"/>
    <cellStyle name="Normal 16" xfId="173"/>
    <cellStyle name="Normal 16 2" xfId="468"/>
    <cellStyle name="Normal 16 3" xfId="467"/>
    <cellStyle name="Normal 16_B - Radovi" xfId="469"/>
    <cellStyle name="Normal 17" xfId="174"/>
    <cellStyle name="Normal 17 2" xfId="471"/>
    <cellStyle name="Normal 17 3" xfId="470"/>
    <cellStyle name="Normal 17_B - Radovi" xfId="472"/>
    <cellStyle name="Normal 18" xfId="175"/>
    <cellStyle name="Normal 18 2" xfId="474"/>
    <cellStyle name="Normal 18 3" xfId="473"/>
    <cellStyle name="Normal 18_B - Radovi" xfId="475"/>
    <cellStyle name="Normal 19" xfId="176"/>
    <cellStyle name="Normal 2" xfId="177"/>
    <cellStyle name="Normal 2 10" xfId="178"/>
    <cellStyle name="Normal 2 11" xfId="179"/>
    <cellStyle name="Normal 2 12" xfId="180"/>
    <cellStyle name="Normal 2 13" xfId="181"/>
    <cellStyle name="Normal 2 14" xfId="182"/>
    <cellStyle name="Normal 2 15" xfId="183"/>
    <cellStyle name="Normal 2 16" xfId="184"/>
    <cellStyle name="Normal 2 17" xfId="185"/>
    <cellStyle name="Normal 2 17 2" xfId="476"/>
    <cellStyle name="Normal 2 18" xfId="186"/>
    <cellStyle name="Normal 2 18 2" xfId="477"/>
    <cellStyle name="Normal 2 19" xfId="187"/>
    <cellStyle name="Normal 2 19 2" xfId="478"/>
    <cellStyle name="Normal 2 2" xfId="188"/>
    <cellStyle name="Normal 2 20" xfId="189"/>
    <cellStyle name="Normal 2 20 2" xfId="479"/>
    <cellStyle name="Normal 2 21" xfId="190"/>
    <cellStyle name="Normal 2 21 2" xfId="480"/>
    <cellStyle name="Normal 2 22" xfId="191"/>
    <cellStyle name="Normal 2 22 2" xfId="481"/>
    <cellStyle name="Normal 2 23" xfId="192"/>
    <cellStyle name="Normal 2 23 2" xfId="482"/>
    <cellStyle name="Normal 2 24" xfId="193"/>
    <cellStyle name="Normal 2 24 2" xfId="483"/>
    <cellStyle name="Normal 2 25" xfId="194"/>
    <cellStyle name="Normal 2 25 2" xfId="484"/>
    <cellStyle name="Normal 2 26" xfId="195"/>
    <cellStyle name="Normal 2 26 2" xfId="485"/>
    <cellStyle name="Normal 2 27" xfId="196"/>
    <cellStyle name="Normal 2 27 2" xfId="486"/>
    <cellStyle name="Normal 2 28" xfId="197"/>
    <cellStyle name="Normal 2 28 2" xfId="487"/>
    <cellStyle name="Normal 2 29" xfId="198"/>
    <cellStyle name="Normal 2 29 2" xfId="488"/>
    <cellStyle name="Normal 2 3" xfId="199"/>
    <cellStyle name="Normal 2 30" xfId="200"/>
    <cellStyle name="Normal 2 30 2" xfId="489"/>
    <cellStyle name="Normal 2 31" xfId="201"/>
    <cellStyle name="Normal 2 31 2" xfId="490"/>
    <cellStyle name="Normal 2 32" xfId="202"/>
    <cellStyle name="Normal 2 32 2" xfId="491"/>
    <cellStyle name="Normal 2 33" xfId="203"/>
    <cellStyle name="Normal 2 33 2" xfId="492"/>
    <cellStyle name="Normal 2 34" xfId="204"/>
    <cellStyle name="Normal 2 34 2" xfId="493"/>
    <cellStyle name="Normal 2 35" xfId="205"/>
    <cellStyle name="Normal 2 35 2" xfId="494"/>
    <cellStyle name="Normal 2 36" xfId="206"/>
    <cellStyle name="Normal 2 36 2" xfId="495"/>
    <cellStyle name="Normal 2 37" xfId="207"/>
    <cellStyle name="Normal 2 37 2" xfId="496"/>
    <cellStyle name="Normal 2 38" xfId="208"/>
    <cellStyle name="Normal 2 38 2" xfId="497"/>
    <cellStyle name="Normal 2 39" xfId="209"/>
    <cellStyle name="Normal 2 39 2" xfId="498"/>
    <cellStyle name="Normal 2 4" xfId="210"/>
    <cellStyle name="Normal 2 40" xfId="211"/>
    <cellStyle name="Normal 2 40 2" xfId="499"/>
    <cellStyle name="Normal 2 41" xfId="212"/>
    <cellStyle name="Normal 2 41 2" xfId="500"/>
    <cellStyle name="Normal 2 42" xfId="213"/>
    <cellStyle name="Normal 2 43" xfId="214"/>
    <cellStyle name="Normal 2 44" xfId="215"/>
    <cellStyle name="Normal 2 45" xfId="216"/>
    <cellStyle name="Normal 2 46" xfId="217"/>
    <cellStyle name="Normal 2 47" xfId="218"/>
    <cellStyle name="Normal 2 48" xfId="219"/>
    <cellStyle name="Normal 2 49" xfId="220"/>
    <cellStyle name="Normal 2 5" xfId="221"/>
    <cellStyle name="Normal 2 50" xfId="222"/>
    <cellStyle name="Normal 2 51" xfId="223"/>
    <cellStyle name="Normal 2 6" xfId="224"/>
    <cellStyle name="Normal 2 7" xfId="225"/>
    <cellStyle name="Normal 2 8" xfId="226"/>
    <cellStyle name="Normal 2 9" xfId="227"/>
    <cellStyle name="Normal 2_2009_06_03_tender_politin_PARCELACIJA - S formom" xfId="228"/>
    <cellStyle name="Normal 20" xfId="229"/>
    <cellStyle name="Normal 20 2" xfId="502"/>
    <cellStyle name="Normal 20 3" xfId="501"/>
    <cellStyle name="Normal 20_B - Radovi" xfId="503"/>
    <cellStyle name="Normal 21" xfId="230"/>
    <cellStyle name="Normal 21 2" xfId="231"/>
    <cellStyle name="Normal 21 2 2" xfId="504"/>
    <cellStyle name="Normal 21 3" xfId="232"/>
    <cellStyle name="Normal 21 3 2" xfId="505"/>
    <cellStyle name="Normal 21 4" xfId="233"/>
    <cellStyle name="Normal 21 4 2" xfId="506"/>
    <cellStyle name="Normal 21 5" xfId="234"/>
    <cellStyle name="Normal 21 5 2" xfId="507"/>
    <cellStyle name="Normal 21_K1213_Politin_20 mobile homes_tender_20120725" xfId="388"/>
    <cellStyle name="Normal 22" xfId="235"/>
    <cellStyle name="Normal 23" xfId="236"/>
    <cellStyle name="Normal 24" xfId="237"/>
    <cellStyle name="Normal 25" xfId="238"/>
    <cellStyle name="Normal 26" xfId="239"/>
    <cellStyle name="Normal 27" xfId="240"/>
    <cellStyle name="Normal 28" xfId="241"/>
    <cellStyle name="Normal 29" xfId="242"/>
    <cellStyle name="Normal 3" xfId="243"/>
    <cellStyle name="Normal 3 2" xfId="385"/>
    <cellStyle name="Normal 3 50" xfId="581"/>
    <cellStyle name="Normal 3_K1213_Politin_20 mobile homes_tender_20120725" xfId="389"/>
    <cellStyle name="Normal 30" xfId="244"/>
    <cellStyle name="Normal 31" xfId="245"/>
    <cellStyle name="Normal 31 2" xfId="508"/>
    <cellStyle name="Normal 32" xfId="246"/>
    <cellStyle name="Normal 32 2" xfId="509"/>
    <cellStyle name="Normal 33" xfId="247"/>
    <cellStyle name="Normal 33 2" xfId="510"/>
    <cellStyle name="Normal 34" xfId="248"/>
    <cellStyle name="Normal 34 2" xfId="511"/>
    <cellStyle name="Normal 35" xfId="249"/>
    <cellStyle name="Normal 35 2" xfId="250"/>
    <cellStyle name="Normal 35 2 2" xfId="513"/>
    <cellStyle name="Normal 35 3" xfId="251"/>
    <cellStyle name="Normal 35 3 2" xfId="514"/>
    <cellStyle name="Normal 35 4" xfId="252"/>
    <cellStyle name="Normal 35 4 2" xfId="515"/>
    <cellStyle name="Normal 35 5" xfId="253"/>
    <cellStyle name="Normal 35 5 2" xfId="516"/>
    <cellStyle name="Normal 35 6" xfId="512"/>
    <cellStyle name="Normal 35_K1213_Politin_20 mobile homes_tender_20120725" xfId="390"/>
    <cellStyle name="Normal 36" xfId="254"/>
    <cellStyle name="Normal 36 2" xfId="517"/>
    <cellStyle name="Normal 37" xfId="255"/>
    <cellStyle name="Normal 37 2" xfId="256"/>
    <cellStyle name="Normal 37 2 2" xfId="519"/>
    <cellStyle name="Normal 37 3" xfId="257"/>
    <cellStyle name="Normal 37 3 2" xfId="520"/>
    <cellStyle name="Normal 37 4" xfId="258"/>
    <cellStyle name="Normal 37 4 2" xfId="521"/>
    <cellStyle name="Normal 37 5" xfId="259"/>
    <cellStyle name="Normal 37 5 2" xfId="522"/>
    <cellStyle name="Normal 37 6" xfId="518"/>
    <cellStyle name="Normal 37_K1213_Politin_20 mobile homes_tender_20120725" xfId="391"/>
    <cellStyle name="Normal 38" xfId="260"/>
    <cellStyle name="Normal 38 2" xfId="523"/>
    <cellStyle name="Normal 39" xfId="261"/>
    <cellStyle name="Normal 39 2" xfId="524"/>
    <cellStyle name="Normal 4" xfId="262"/>
    <cellStyle name="Normal 4 10" xfId="396"/>
    <cellStyle name="Normal 4 2" xfId="263"/>
    <cellStyle name="Normal 4 2 2" xfId="525"/>
    <cellStyle name="Normal 4 3" xfId="264"/>
    <cellStyle name="Normal 4 3 2" xfId="526"/>
    <cellStyle name="Normal 4 4" xfId="265"/>
    <cellStyle name="Normal 4 4 2" xfId="527"/>
    <cellStyle name="Normal 4 5" xfId="266"/>
    <cellStyle name="Normal 4 5 2" xfId="528"/>
    <cellStyle name="Normal 4_K1213_Politin_20 mobile homes_tender_20120725" xfId="392"/>
    <cellStyle name="Normal 40" xfId="267"/>
    <cellStyle name="Normal 40 2" xfId="529"/>
    <cellStyle name="Normal 41" xfId="268"/>
    <cellStyle name="Normal 41 2" xfId="530"/>
    <cellStyle name="Normal 42" xfId="269"/>
    <cellStyle name="Normal 42 2" xfId="531"/>
    <cellStyle name="Normal 43" xfId="270"/>
    <cellStyle name="Normal 43 2" xfId="532"/>
    <cellStyle name="Normal 44" xfId="271"/>
    <cellStyle name="Normal 44 2" xfId="533"/>
    <cellStyle name="Normal 45" xfId="272"/>
    <cellStyle name="Normal 45 2" xfId="534"/>
    <cellStyle name="Normal 46" xfId="273"/>
    <cellStyle name="Normal 46 2" xfId="535"/>
    <cellStyle name="Normal 47" xfId="274"/>
    <cellStyle name="Normal 47 2" xfId="536"/>
    <cellStyle name="Normal 48" xfId="275"/>
    <cellStyle name="Normal 48 2" xfId="537"/>
    <cellStyle name="Normal 49" xfId="276"/>
    <cellStyle name="Normal 49 2" xfId="538"/>
    <cellStyle name="Normal 5" xfId="277"/>
    <cellStyle name="Normal 5 2" xfId="539"/>
    <cellStyle name="Normal 50" xfId="278"/>
    <cellStyle name="Normal 50 2" xfId="540"/>
    <cellStyle name="Normal 51" xfId="279"/>
    <cellStyle name="Normal 51 2" xfId="541"/>
    <cellStyle name="Normal 52" xfId="280"/>
    <cellStyle name="Normal 52 2" xfId="542"/>
    <cellStyle name="Normal 53" xfId="281"/>
    <cellStyle name="Normal 53 2" xfId="543"/>
    <cellStyle name="Normal 54" xfId="282"/>
    <cellStyle name="Normal 54 2" xfId="544"/>
    <cellStyle name="Normal 55" xfId="283"/>
    <cellStyle name="Normal 55 2" xfId="545"/>
    <cellStyle name="Normal 56" xfId="284"/>
    <cellStyle name="Normal 56 2" xfId="546"/>
    <cellStyle name="Normal 58" xfId="383"/>
    <cellStyle name="Normal 58 2" xfId="384"/>
    <cellStyle name="Normal 58 3" xfId="547"/>
    <cellStyle name="Normal 58_K1213_Politin_20 mobile homes_tender_20120725" xfId="393"/>
    <cellStyle name="Normal 6" xfId="285"/>
    <cellStyle name="Normal 6 2" xfId="549"/>
    <cellStyle name="Normal 6 3" xfId="548"/>
    <cellStyle name="Normal 67" xfId="550"/>
    <cellStyle name="Normal 7" xfId="286"/>
    <cellStyle name="Normal 7 10" xfId="287"/>
    <cellStyle name="Normal 7 10 2" xfId="551"/>
    <cellStyle name="Normal 7 11" xfId="288"/>
    <cellStyle name="Normal 7 11 2" xfId="552"/>
    <cellStyle name="Normal 7 12" xfId="289"/>
    <cellStyle name="Normal 7 12 2" xfId="553"/>
    <cellStyle name="Normal 7 13" xfId="290"/>
    <cellStyle name="Normal 7 13 2" xfId="554"/>
    <cellStyle name="Normal 7 14" xfId="291"/>
    <cellStyle name="Normal 7 14 2" xfId="555"/>
    <cellStyle name="Normal 7 15" xfId="292"/>
    <cellStyle name="Normal 7 15 2" xfId="556"/>
    <cellStyle name="Normal 7 16" xfId="293"/>
    <cellStyle name="Normal 7 16 2" xfId="557"/>
    <cellStyle name="Normal 7 2" xfId="294"/>
    <cellStyle name="Normal 7 2 2" xfId="558"/>
    <cellStyle name="Normal 7 3" xfId="295"/>
    <cellStyle name="Normal 7 3 2" xfId="559"/>
    <cellStyle name="Normal 7 4" xfId="296"/>
    <cellStyle name="Normal 7 4 2" xfId="560"/>
    <cellStyle name="Normal 7 5" xfId="297"/>
    <cellStyle name="Normal 7 5 2" xfId="561"/>
    <cellStyle name="Normal 7 6" xfId="298"/>
    <cellStyle name="Normal 7 6 2" xfId="562"/>
    <cellStyle name="Normal 7 7" xfId="299"/>
    <cellStyle name="Normal 7 7 2" xfId="563"/>
    <cellStyle name="Normal 7 8" xfId="300"/>
    <cellStyle name="Normal 7 8 2" xfId="564"/>
    <cellStyle name="Normal 7 9" xfId="301"/>
    <cellStyle name="Normal 7 9 2" xfId="565"/>
    <cellStyle name="Normal 7_2009_06_03_tender_politin_PARCELACIJA - S formom" xfId="302"/>
    <cellStyle name="Normal 8" xfId="303"/>
    <cellStyle name="Normal 9" xfId="304"/>
    <cellStyle name="Normal 9 2" xfId="386"/>
    <cellStyle name="Normal 9_K1213_Politin_20 mobile homes_tender_20120725" xfId="394"/>
    <cellStyle name="Normal 98" xfId="398"/>
    <cellStyle name="Normal_ERSTE-K-staro" xfId="584"/>
    <cellStyle name="Normal_H.KORALJ - Klimatizacija soba - Tender troškovnik STROJARSTVO - protect" xfId="305"/>
    <cellStyle name="Normal_Sheet1" xfId="585"/>
    <cellStyle name="Normal_trosk_gradj_r_zapresic-rev1" xfId="399"/>
    <cellStyle name="Normal_V1-erste-rekapitulacija" xfId="578"/>
    <cellStyle name="Normal_zaG ERSTE-Haulikova IZV-TROSK. PROŠIRENJA-js-ss" xfId="582"/>
    <cellStyle name="Normal1" xfId="306"/>
    <cellStyle name="Normal1 2" xfId="566"/>
    <cellStyle name="Normal1_B - Radovi" xfId="567"/>
    <cellStyle name="Normal2" xfId="568"/>
    <cellStyle name="Normal3" xfId="307"/>
    <cellStyle name="Normalno 2" xfId="569"/>
    <cellStyle name="Obično 10" xfId="308"/>
    <cellStyle name="Obično 11" xfId="309"/>
    <cellStyle name="Obično 12" xfId="310"/>
    <cellStyle name="Obično 13" xfId="311"/>
    <cellStyle name="Obično 14" xfId="312"/>
    <cellStyle name="Obično 15" xfId="313"/>
    <cellStyle name="Obično 16" xfId="314"/>
    <cellStyle name="Obično 2" xfId="315"/>
    <cellStyle name="Obično 2 2" xfId="570"/>
    <cellStyle name="Obično 3" xfId="316"/>
    <cellStyle name="Obično 4" xfId="317"/>
    <cellStyle name="Obično 5" xfId="318"/>
    <cellStyle name="Obično 6" xfId="319"/>
    <cellStyle name="Obično 7" xfId="320"/>
    <cellStyle name="Obično 8" xfId="321"/>
    <cellStyle name="Obično 9" xfId="322"/>
    <cellStyle name="Obično_ERSTE-Delnice-TROSKOVNIK" xfId="583"/>
    <cellStyle name="Percent 10" xfId="323"/>
    <cellStyle name="Percent 11" xfId="324"/>
    <cellStyle name="Percent 12" xfId="325"/>
    <cellStyle name="Percent 13" xfId="326"/>
    <cellStyle name="Percent 14" xfId="327"/>
    <cellStyle name="Percent 15" xfId="328"/>
    <cellStyle name="Percent 16" xfId="329"/>
    <cellStyle name="Percent 17" xfId="330"/>
    <cellStyle name="Percent 18" xfId="331"/>
    <cellStyle name="Percent 19" xfId="332"/>
    <cellStyle name="Percent 2" xfId="333"/>
    <cellStyle name="Percent 2 2" xfId="571"/>
    <cellStyle name="Percent 20" xfId="334"/>
    <cellStyle name="Percent 21" xfId="335"/>
    <cellStyle name="Percent 22" xfId="336"/>
    <cellStyle name="Percent 23" xfId="337"/>
    <cellStyle name="Percent 24" xfId="338"/>
    <cellStyle name="Percent 25" xfId="339"/>
    <cellStyle name="Percent 26" xfId="340"/>
    <cellStyle name="Percent 27" xfId="341"/>
    <cellStyle name="Percent 28" xfId="342"/>
    <cellStyle name="Percent 29" xfId="343"/>
    <cellStyle name="Percent 3" xfId="344"/>
    <cellStyle name="Percent 30" xfId="345"/>
    <cellStyle name="Percent 31" xfId="346"/>
    <cellStyle name="Percent 32" xfId="347"/>
    <cellStyle name="Percent 33" xfId="348"/>
    <cellStyle name="Percent 34" xfId="349"/>
    <cellStyle name="Percent 35" xfId="350"/>
    <cellStyle name="Percent 36" xfId="351"/>
    <cellStyle name="Percent 37" xfId="352"/>
    <cellStyle name="Percent 38" xfId="353"/>
    <cellStyle name="Percent 39" xfId="354"/>
    <cellStyle name="Percent 4" xfId="355"/>
    <cellStyle name="Percent 40" xfId="356"/>
    <cellStyle name="Percent 41" xfId="357"/>
    <cellStyle name="Percent 42" xfId="358"/>
    <cellStyle name="Percent 43" xfId="359"/>
    <cellStyle name="Percent 44" xfId="360"/>
    <cellStyle name="Percent 45" xfId="361"/>
    <cellStyle name="Percent 46" xfId="362"/>
    <cellStyle name="Percent 47" xfId="363"/>
    <cellStyle name="Percent 48" xfId="364"/>
    <cellStyle name="Percent 49" xfId="365"/>
    <cellStyle name="Percent 5" xfId="366"/>
    <cellStyle name="Percent 50" xfId="367"/>
    <cellStyle name="Percent 51" xfId="368"/>
    <cellStyle name="Percent 6" xfId="369"/>
    <cellStyle name="Percent 7" xfId="370"/>
    <cellStyle name="Percent 8" xfId="371"/>
    <cellStyle name="Percent 9" xfId="372"/>
    <cellStyle name="Podstavka" xfId="572"/>
    <cellStyle name="Povezana ćelija" xfId="373"/>
    <cellStyle name="Provjera ćelije" xfId="374"/>
    <cellStyle name="redni brojevi" xfId="375"/>
    <cellStyle name="Rekapitulacija" xfId="573"/>
    <cellStyle name="Stavka" xfId="574"/>
    <cellStyle name="Stil 1" xfId="376"/>
    <cellStyle name="Style 1" xfId="377"/>
    <cellStyle name="Tekst objašnjenja" xfId="378"/>
    <cellStyle name="Tekst upozorenja" xfId="379"/>
    <cellStyle name="Ukupni zbroj" xfId="380"/>
    <cellStyle name="ukupno" xfId="575"/>
    <cellStyle name="Unos" xfId="381"/>
    <cellStyle name="zadnja" xfId="382"/>
    <cellStyle name="zadnja 2" xfId="576"/>
    <cellStyle name="zadnja_B - Radovi" xfId="577"/>
    <cellStyle name="Zarez_BIM SK i TK oprema 130503" xfId="58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tint="-0.14996795556505021"/>
      </font>
    </dxf>
    <dxf>
      <font>
        <color theme="0" tint="-0.24994659260841701"/>
      </font>
    </dxf>
    <dxf>
      <font>
        <color theme="0" tint="-0.14996795556505021"/>
      </font>
    </dxf>
    <dxf>
      <font>
        <color theme="0"/>
      </font>
    </dxf>
  </dxfs>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313</xdr:row>
      <xdr:rowOff>0</xdr:rowOff>
    </xdr:from>
    <xdr:to>
      <xdr:col>4</xdr:col>
      <xdr:colOff>533400</xdr:colOff>
      <xdr:row>313</xdr:row>
      <xdr:rowOff>254000</xdr:rowOff>
    </xdr:to>
    <xdr:sp macro="" textlink="">
      <xdr:nvSpPr>
        <xdr:cNvPr id="2" name="TextBox 1"/>
        <xdr:cNvSpPr txBox="1">
          <a:spLocks noChangeArrowheads="1"/>
        </xdr:cNvSpPr>
      </xdr:nvSpPr>
      <xdr:spPr bwMode="auto">
        <a:xfrm>
          <a:off x="3362325" y="1297876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3" name="TextBox 2"/>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5"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7"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10"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3" name="TextBox 12"/>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4" name="TextBox 13"/>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313</xdr:row>
      <xdr:rowOff>0</xdr:rowOff>
    </xdr:from>
    <xdr:to>
      <xdr:col>4</xdr:col>
      <xdr:colOff>485775</xdr:colOff>
      <xdr:row>313</xdr:row>
      <xdr:rowOff>261937</xdr:rowOff>
    </xdr:to>
    <xdr:sp macro="" textlink="">
      <xdr:nvSpPr>
        <xdr:cNvPr id="15" name="TextBox 1"/>
        <xdr:cNvSpPr txBox="1">
          <a:spLocks noChangeArrowheads="1"/>
        </xdr:cNvSpPr>
      </xdr:nvSpPr>
      <xdr:spPr bwMode="auto">
        <a:xfrm>
          <a:off x="3314700"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6"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17"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8"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19"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20"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1"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2"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3"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313</xdr:row>
      <xdr:rowOff>0</xdr:rowOff>
    </xdr:from>
    <xdr:to>
      <xdr:col>5</xdr:col>
      <xdr:colOff>144462</xdr:colOff>
      <xdr:row>313</xdr:row>
      <xdr:rowOff>63500</xdr:rowOff>
    </xdr:to>
    <xdr:sp macro="" textlink="">
      <xdr:nvSpPr>
        <xdr:cNvPr id="24" name="TextBox 23"/>
        <xdr:cNvSpPr txBox="1">
          <a:spLocks noChangeArrowheads="1"/>
        </xdr:cNvSpPr>
      </xdr:nvSpPr>
      <xdr:spPr bwMode="auto">
        <a:xfrm>
          <a:off x="3536950" y="1297876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5"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26"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7"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8"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9"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0"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1"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2"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3"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4" name="TextBox 33"/>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5"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6"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7" name="TextBox 36"/>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8"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9" name="TextBox 38"/>
        <xdr:cNvSpPr txBox="1">
          <a:spLocks noChangeArrowheads="1"/>
        </xdr:cNvSpPr>
      </xdr:nvSpPr>
      <xdr:spPr bwMode="auto">
        <a:xfrm>
          <a:off x="3362325" y="12978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40" name="TextBox 39"/>
        <xdr:cNvSpPr txBox="1">
          <a:spLocks noChangeArrowheads="1"/>
        </xdr:cNvSpPr>
      </xdr:nvSpPr>
      <xdr:spPr bwMode="auto">
        <a:xfrm>
          <a:off x="3362325" y="12978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1" name="TextBox 40"/>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3"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411</xdr:row>
      <xdr:rowOff>290346</xdr:rowOff>
    </xdr:to>
    <xdr:sp macro="" textlink="">
      <xdr:nvSpPr>
        <xdr:cNvPr id="50" name="TextBox 49"/>
        <xdr:cNvSpPr txBox="1">
          <a:spLocks noChangeArrowheads="1"/>
        </xdr:cNvSpPr>
      </xdr:nvSpPr>
      <xdr:spPr bwMode="auto">
        <a:xfrm>
          <a:off x="3362325" y="157257750"/>
          <a:ext cx="190500" cy="85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1"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52"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59"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0"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1"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2"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3"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4"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5" name="TextBox 64"/>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6"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7"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8"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9"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3"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4"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5"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6"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7"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8"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9"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40"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49"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3"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4"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5"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6"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412</xdr:row>
      <xdr:rowOff>0</xdr:rowOff>
    </xdr:from>
    <xdr:to>
      <xdr:col>5</xdr:col>
      <xdr:colOff>342900</xdr:colOff>
      <xdr:row>413</xdr:row>
      <xdr:rowOff>3174</xdr:rowOff>
    </xdr:to>
    <xdr:sp macro="" textlink="">
      <xdr:nvSpPr>
        <xdr:cNvPr id="190" name="TextBox 1"/>
        <xdr:cNvSpPr txBox="1">
          <a:spLocks noChangeArrowheads="1"/>
        </xdr:cNvSpPr>
      </xdr:nvSpPr>
      <xdr:spPr bwMode="auto">
        <a:xfrm>
          <a:off x="3733800"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412</xdr:row>
      <xdr:rowOff>0</xdr:rowOff>
    </xdr:from>
    <xdr:to>
      <xdr:col>5</xdr:col>
      <xdr:colOff>334962</xdr:colOff>
      <xdr:row>413</xdr:row>
      <xdr:rowOff>3174</xdr:rowOff>
    </xdr:to>
    <xdr:sp macro="" textlink="">
      <xdr:nvSpPr>
        <xdr:cNvPr id="191" name="TextBox 1"/>
        <xdr:cNvSpPr txBox="1">
          <a:spLocks noChangeArrowheads="1"/>
        </xdr:cNvSpPr>
      </xdr:nvSpPr>
      <xdr:spPr bwMode="auto">
        <a:xfrm>
          <a:off x="3725862"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412</xdr:row>
      <xdr:rowOff>0</xdr:rowOff>
    </xdr:from>
    <xdr:to>
      <xdr:col>5</xdr:col>
      <xdr:colOff>422274</xdr:colOff>
      <xdr:row>412</xdr:row>
      <xdr:rowOff>111125</xdr:rowOff>
    </xdr:to>
    <xdr:sp macro="" textlink="">
      <xdr:nvSpPr>
        <xdr:cNvPr id="192" name="TextBox 1"/>
        <xdr:cNvSpPr txBox="1">
          <a:spLocks noChangeArrowheads="1"/>
        </xdr:cNvSpPr>
      </xdr:nvSpPr>
      <xdr:spPr bwMode="auto">
        <a:xfrm>
          <a:off x="3813174" y="1581721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412</xdr:row>
      <xdr:rowOff>0</xdr:rowOff>
    </xdr:from>
    <xdr:to>
      <xdr:col>4</xdr:col>
      <xdr:colOff>501650</xdr:colOff>
      <xdr:row>412</xdr:row>
      <xdr:rowOff>4761</xdr:rowOff>
    </xdr:to>
    <xdr:sp macro="" textlink="">
      <xdr:nvSpPr>
        <xdr:cNvPr id="193" name="TextBox 1"/>
        <xdr:cNvSpPr txBox="1">
          <a:spLocks noChangeArrowheads="1"/>
        </xdr:cNvSpPr>
      </xdr:nvSpPr>
      <xdr:spPr bwMode="auto">
        <a:xfrm>
          <a:off x="3330575" y="1581721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22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230187</xdr:rowOff>
    </xdr:to>
    <xdr:sp macro="" textlink="">
      <xdr:nvSpPr>
        <xdr:cNvPr id="221" name="TextBox 220"/>
        <xdr:cNvSpPr txBox="1">
          <a:spLocks noChangeArrowheads="1"/>
        </xdr:cNvSpPr>
      </xdr:nvSpPr>
      <xdr:spPr bwMode="auto">
        <a:xfrm>
          <a:off x="3362325" y="157257750"/>
          <a:ext cx="19050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2"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230187</xdr:rowOff>
    </xdr:to>
    <xdr:sp macro="" textlink="">
      <xdr:nvSpPr>
        <xdr:cNvPr id="223" name="TextBox 1"/>
        <xdr:cNvSpPr txBox="1">
          <a:spLocks noChangeArrowheads="1"/>
        </xdr:cNvSpPr>
      </xdr:nvSpPr>
      <xdr:spPr bwMode="auto">
        <a:xfrm>
          <a:off x="3362325" y="157257750"/>
          <a:ext cx="19050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4"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5"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6"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7"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8"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9"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409</xdr:row>
      <xdr:rowOff>0</xdr:rowOff>
    </xdr:from>
    <xdr:to>
      <xdr:col>5</xdr:col>
      <xdr:colOff>295274</xdr:colOff>
      <xdr:row>409</xdr:row>
      <xdr:rowOff>230188</xdr:rowOff>
    </xdr:to>
    <xdr:sp macro="" textlink="">
      <xdr:nvSpPr>
        <xdr:cNvPr id="230" name="TextBox 229"/>
        <xdr:cNvSpPr txBox="1">
          <a:spLocks noChangeArrowheads="1"/>
        </xdr:cNvSpPr>
      </xdr:nvSpPr>
      <xdr:spPr bwMode="auto">
        <a:xfrm>
          <a:off x="3686174" y="157257750"/>
          <a:ext cx="1905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1"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3"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4"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5"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6"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7"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409</xdr:row>
      <xdr:rowOff>0</xdr:rowOff>
    </xdr:from>
    <xdr:to>
      <xdr:col>7</xdr:col>
      <xdr:colOff>430213</xdr:colOff>
      <xdr:row>409</xdr:row>
      <xdr:rowOff>133350</xdr:rowOff>
    </xdr:to>
    <xdr:sp macro="" textlink="">
      <xdr:nvSpPr>
        <xdr:cNvPr id="238" name="TextBox 1"/>
        <xdr:cNvSpPr txBox="1">
          <a:spLocks noChangeArrowheads="1"/>
        </xdr:cNvSpPr>
      </xdr:nvSpPr>
      <xdr:spPr bwMode="auto">
        <a:xfrm>
          <a:off x="5821363" y="1572196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39" name="TextBox 238"/>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0"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41"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48" name="TextBox 247"/>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0"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1"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7" name="TextBox 256"/>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8"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59"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0"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1"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2"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3"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4"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5"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6" name="TextBox 265"/>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7" name="TextBox 1"/>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8" name="TextBox 1"/>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6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23812</xdr:rowOff>
    </xdr:to>
    <xdr:sp macro="" textlink="">
      <xdr:nvSpPr>
        <xdr:cNvPr id="270" name="TextBox 1"/>
        <xdr:cNvSpPr txBox="1">
          <a:spLocks noChangeArrowheads="1"/>
        </xdr:cNvSpPr>
      </xdr:nvSpPr>
      <xdr:spPr bwMode="auto">
        <a:xfrm>
          <a:off x="3362325" y="158172150"/>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7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7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23812</xdr:rowOff>
    </xdr:to>
    <xdr:sp macro="" textlink="">
      <xdr:nvSpPr>
        <xdr:cNvPr id="273" name="TextBox 1"/>
        <xdr:cNvSpPr txBox="1">
          <a:spLocks noChangeArrowheads="1"/>
        </xdr:cNvSpPr>
      </xdr:nvSpPr>
      <xdr:spPr bwMode="auto">
        <a:xfrm>
          <a:off x="3362325" y="158172150"/>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356</xdr:row>
      <xdr:rowOff>0</xdr:rowOff>
    </xdr:from>
    <xdr:to>
      <xdr:col>4</xdr:col>
      <xdr:colOff>533400</xdr:colOff>
      <xdr:row>357</xdr:row>
      <xdr:rowOff>95249</xdr:rowOff>
    </xdr:to>
    <xdr:sp macro="" textlink="">
      <xdr:nvSpPr>
        <xdr:cNvPr id="274" name="TextBox 273"/>
        <xdr:cNvSpPr txBox="1">
          <a:spLocks noChangeArrowheads="1"/>
        </xdr:cNvSpPr>
      </xdr:nvSpPr>
      <xdr:spPr bwMode="auto">
        <a:xfrm>
          <a:off x="3362325" y="1408271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403</xdr:row>
      <xdr:rowOff>0</xdr:rowOff>
    </xdr:from>
    <xdr:to>
      <xdr:col>4</xdr:col>
      <xdr:colOff>533400</xdr:colOff>
      <xdr:row>403</xdr:row>
      <xdr:rowOff>161925</xdr:rowOff>
    </xdr:to>
    <xdr:sp macro="" textlink="">
      <xdr:nvSpPr>
        <xdr:cNvPr id="275" name="TextBox 1"/>
        <xdr:cNvSpPr txBox="1">
          <a:spLocks noChangeArrowheads="1"/>
        </xdr:cNvSpPr>
      </xdr:nvSpPr>
      <xdr:spPr bwMode="auto">
        <a:xfrm>
          <a:off x="3362325" y="1549812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406</xdr:row>
      <xdr:rowOff>0</xdr:rowOff>
    </xdr:from>
    <xdr:to>
      <xdr:col>4</xdr:col>
      <xdr:colOff>533400</xdr:colOff>
      <xdr:row>407</xdr:row>
      <xdr:rowOff>95250</xdr:rowOff>
    </xdr:to>
    <xdr:sp macro="" textlink="">
      <xdr:nvSpPr>
        <xdr:cNvPr id="276" name="TextBox 1"/>
        <xdr:cNvSpPr txBox="1">
          <a:spLocks noChangeArrowheads="1"/>
        </xdr:cNvSpPr>
      </xdr:nvSpPr>
      <xdr:spPr bwMode="auto">
        <a:xfrm>
          <a:off x="3362325" y="1562385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402</xdr:row>
      <xdr:rowOff>0</xdr:rowOff>
    </xdr:from>
    <xdr:to>
      <xdr:col>4</xdr:col>
      <xdr:colOff>533400</xdr:colOff>
      <xdr:row>403</xdr:row>
      <xdr:rowOff>3174</xdr:rowOff>
    </xdr:to>
    <xdr:sp macro="" textlink="">
      <xdr:nvSpPr>
        <xdr:cNvPr id="277" name="TextBox 1"/>
        <xdr:cNvSpPr txBox="1">
          <a:spLocks noChangeArrowheads="1"/>
        </xdr:cNvSpPr>
      </xdr:nvSpPr>
      <xdr:spPr bwMode="auto">
        <a:xfrm>
          <a:off x="3362325" y="1548193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402</xdr:row>
      <xdr:rowOff>0</xdr:rowOff>
    </xdr:from>
    <xdr:to>
      <xdr:col>4</xdr:col>
      <xdr:colOff>533400</xdr:colOff>
      <xdr:row>403</xdr:row>
      <xdr:rowOff>3174</xdr:rowOff>
    </xdr:to>
    <xdr:sp macro="" textlink="">
      <xdr:nvSpPr>
        <xdr:cNvPr id="278" name="TextBox 1"/>
        <xdr:cNvSpPr txBox="1">
          <a:spLocks noChangeArrowheads="1"/>
        </xdr:cNvSpPr>
      </xdr:nvSpPr>
      <xdr:spPr bwMode="auto">
        <a:xfrm>
          <a:off x="3362325" y="1548193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398</xdr:row>
      <xdr:rowOff>0</xdr:rowOff>
    </xdr:from>
    <xdr:to>
      <xdr:col>4</xdr:col>
      <xdr:colOff>533400</xdr:colOff>
      <xdr:row>399</xdr:row>
      <xdr:rowOff>3174</xdr:rowOff>
    </xdr:to>
    <xdr:sp macro="" textlink="">
      <xdr:nvSpPr>
        <xdr:cNvPr id="279" name="TextBox 1"/>
        <xdr:cNvSpPr txBox="1">
          <a:spLocks noChangeArrowheads="1"/>
        </xdr:cNvSpPr>
      </xdr:nvSpPr>
      <xdr:spPr bwMode="auto">
        <a:xfrm>
          <a:off x="3362325" y="1530286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397</xdr:row>
      <xdr:rowOff>0</xdr:rowOff>
    </xdr:from>
    <xdr:to>
      <xdr:col>4</xdr:col>
      <xdr:colOff>533400</xdr:colOff>
      <xdr:row>397</xdr:row>
      <xdr:rowOff>161925</xdr:rowOff>
    </xdr:to>
    <xdr:sp macro="" textlink="">
      <xdr:nvSpPr>
        <xdr:cNvPr id="280" name="TextBox 1"/>
        <xdr:cNvSpPr txBox="1">
          <a:spLocks noChangeArrowheads="1"/>
        </xdr:cNvSpPr>
      </xdr:nvSpPr>
      <xdr:spPr bwMode="auto">
        <a:xfrm>
          <a:off x="3362325" y="1522476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399</xdr:row>
      <xdr:rowOff>0</xdr:rowOff>
    </xdr:from>
    <xdr:to>
      <xdr:col>4</xdr:col>
      <xdr:colOff>533400</xdr:colOff>
      <xdr:row>399</xdr:row>
      <xdr:rowOff>161925</xdr:rowOff>
    </xdr:to>
    <xdr:sp macro="" textlink="">
      <xdr:nvSpPr>
        <xdr:cNvPr id="281" name="TextBox 1"/>
        <xdr:cNvSpPr txBox="1">
          <a:spLocks noChangeArrowheads="1"/>
        </xdr:cNvSpPr>
      </xdr:nvSpPr>
      <xdr:spPr bwMode="auto">
        <a:xfrm>
          <a:off x="3362325" y="1531905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8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382</xdr:row>
      <xdr:rowOff>0</xdr:rowOff>
    </xdr:from>
    <xdr:ext cx="190500" cy="257175"/>
    <xdr:sp macro="" textlink="">
      <xdr:nvSpPr>
        <xdr:cNvPr id="283"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382</xdr:row>
      <xdr:rowOff>0</xdr:rowOff>
    </xdr:from>
    <xdr:ext cx="190500" cy="257175"/>
    <xdr:sp macro="" textlink="">
      <xdr:nvSpPr>
        <xdr:cNvPr id="284"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382</xdr:row>
      <xdr:rowOff>0</xdr:rowOff>
    </xdr:from>
    <xdr:ext cx="190500" cy="257175"/>
    <xdr:sp macro="" textlink="">
      <xdr:nvSpPr>
        <xdr:cNvPr id="285"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362</xdr:row>
      <xdr:rowOff>0</xdr:rowOff>
    </xdr:from>
    <xdr:ext cx="190500" cy="257175"/>
    <xdr:sp macro="" textlink="">
      <xdr:nvSpPr>
        <xdr:cNvPr id="286" name="TextBox 1"/>
        <xdr:cNvSpPr txBox="1">
          <a:spLocks noChangeArrowheads="1"/>
        </xdr:cNvSpPr>
      </xdr:nvSpPr>
      <xdr:spPr bwMode="auto">
        <a:xfrm>
          <a:off x="3362325" y="1431893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362</xdr:row>
      <xdr:rowOff>0</xdr:rowOff>
    </xdr:from>
    <xdr:ext cx="190500" cy="257175"/>
    <xdr:sp macro="" textlink="">
      <xdr:nvSpPr>
        <xdr:cNvPr id="287" name="TextBox 1"/>
        <xdr:cNvSpPr txBox="1">
          <a:spLocks noChangeArrowheads="1"/>
        </xdr:cNvSpPr>
      </xdr:nvSpPr>
      <xdr:spPr bwMode="auto">
        <a:xfrm>
          <a:off x="3362325" y="1431893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366</xdr:row>
      <xdr:rowOff>0</xdr:rowOff>
    </xdr:from>
    <xdr:ext cx="190500" cy="257175"/>
    <xdr:sp macro="" textlink="">
      <xdr:nvSpPr>
        <xdr:cNvPr id="288" name="TextBox 1"/>
        <xdr:cNvSpPr txBox="1">
          <a:spLocks noChangeArrowheads="1"/>
        </xdr:cNvSpPr>
      </xdr:nvSpPr>
      <xdr:spPr bwMode="auto">
        <a:xfrm>
          <a:off x="3362325" y="1447704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358</xdr:row>
      <xdr:rowOff>0</xdr:rowOff>
    </xdr:from>
    <xdr:ext cx="190500" cy="257175"/>
    <xdr:sp macro="" textlink="">
      <xdr:nvSpPr>
        <xdr:cNvPr id="289" name="TextBox 1"/>
        <xdr:cNvSpPr txBox="1">
          <a:spLocks noChangeArrowheads="1"/>
        </xdr:cNvSpPr>
      </xdr:nvSpPr>
      <xdr:spPr bwMode="auto">
        <a:xfrm>
          <a:off x="3362325" y="1416367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360</xdr:row>
      <xdr:rowOff>28575</xdr:rowOff>
    </xdr:from>
    <xdr:ext cx="190500" cy="257175"/>
    <xdr:sp macro="" textlink="">
      <xdr:nvSpPr>
        <xdr:cNvPr id="290" name="TextBox 1"/>
        <xdr:cNvSpPr txBox="1">
          <a:spLocks noChangeArrowheads="1"/>
        </xdr:cNvSpPr>
      </xdr:nvSpPr>
      <xdr:spPr bwMode="auto">
        <a:xfrm>
          <a:off x="3533775" y="1426749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1"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2"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3"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4"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364</xdr:row>
      <xdr:rowOff>28575</xdr:rowOff>
    </xdr:from>
    <xdr:ext cx="190500" cy="257175"/>
    <xdr:sp macro="" textlink="">
      <xdr:nvSpPr>
        <xdr:cNvPr id="295" name="TextBox 1"/>
        <xdr:cNvSpPr txBox="1">
          <a:spLocks noChangeArrowheads="1"/>
        </xdr:cNvSpPr>
      </xdr:nvSpPr>
      <xdr:spPr bwMode="auto">
        <a:xfrm>
          <a:off x="3533775" y="1440275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396</xdr:row>
      <xdr:rowOff>0</xdr:rowOff>
    </xdr:from>
    <xdr:ext cx="190500" cy="257175"/>
    <xdr:sp macro="" textlink="">
      <xdr:nvSpPr>
        <xdr:cNvPr id="296" name="TextBox 1"/>
        <xdr:cNvSpPr txBox="1">
          <a:spLocks noChangeArrowheads="1"/>
        </xdr:cNvSpPr>
      </xdr:nvSpPr>
      <xdr:spPr bwMode="auto">
        <a:xfrm>
          <a:off x="3362325" y="1520856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401</xdr:row>
      <xdr:rowOff>0</xdr:rowOff>
    </xdr:from>
    <xdr:ext cx="190500" cy="257175"/>
    <xdr:sp macro="" textlink="">
      <xdr:nvSpPr>
        <xdr:cNvPr id="297" name="TextBox 1"/>
        <xdr:cNvSpPr txBox="1">
          <a:spLocks noChangeArrowheads="1"/>
        </xdr:cNvSpPr>
      </xdr:nvSpPr>
      <xdr:spPr bwMode="auto">
        <a:xfrm>
          <a:off x="3362325" y="1541049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398</xdr:row>
      <xdr:rowOff>0</xdr:rowOff>
    </xdr:from>
    <xdr:ext cx="190500" cy="257175"/>
    <xdr:sp macro="" textlink="">
      <xdr:nvSpPr>
        <xdr:cNvPr id="298" name="TextBox 1"/>
        <xdr:cNvSpPr txBox="1">
          <a:spLocks noChangeArrowheads="1"/>
        </xdr:cNvSpPr>
      </xdr:nvSpPr>
      <xdr:spPr bwMode="auto">
        <a:xfrm>
          <a:off x="3362325" y="153028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402</xdr:row>
      <xdr:rowOff>0</xdr:rowOff>
    </xdr:from>
    <xdr:ext cx="190500" cy="257175"/>
    <xdr:sp macro="" textlink="">
      <xdr:nvSpPr>
        <xdr:cNvPr id="299" name="TextBox 1"/>
        <xdr:cNvSpPr txBox="1">
          <a:spLocks noChangeArrowheads="1"/>
        </xdr:cNvSpPr>
      </xdr:nvSpPr>
      <xdr:spPr bwMode="auto">
        <a:xfrm>
          <a:off x="3362325" y="1548193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408</xdr:row>
      <xdr:rowOff>0</xdr:rowOff>
    </xdr:from>
    <xdr:to>
      <xdr:col>4</xdr:col>
      <xdr:colOff>533400</xdr:colOff>
      <xdr:row>409</xdr:row>
      <xdr:rowOff>95250</xdr:rowOff>
    </xdr:to>
    <xdr:sp macro="" textlink="">
      <xdr:nvSpPr>
        <xdr:cNvPr id="300" name="TextBox 1"/>
        <xdr:cNvSpPr txBox="1">
          <a:spLocks noChangeArrowheads="1"/>
        </xdr:cNvSpPr>
      </xdr:nvSpPr>
      <xdr:spPr bwMode="auto">
        <a:xfrm>
          <a:off x="3362325" y="157067250"/>
          <a:ext cx="190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1"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95251</xdr:rowOff>
    </xdr:to>
    <xdr:sp macro="" textlink="">
      <xdr:nvSpPr>
        <xdr:cNvPr id="302" name="TextBox 1"/>
        <xdr:cNvSpPr txBox="1">
          <a:spLocks noChangeArrowheads="1"/>
        </xdr:cNvSpPr>
      </xdr:nvSpPr>
      <xdr:spPr bwMode="auto">
        <a:xfrm>
          <a:off x="3362325" y="1589817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3"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4"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95251</xdr:rowOff>
    </xdr:to>
    <xdr:sp macro="" textlink="">
      <xdr:nvSpPr>
        <xdr:cNvPr id="305" name="TextBox 1"/>
        <xdr:cNvSpPr txBox="1">
          <a:spLocks noChangeArrowheads="1"/>
        </xdr:cNvSpPr>
      </xdr:nvSpPr>
      <xdr:spPr bwMode="auto">
        <a:xfrm>
          <a:off x="3362325" y="1589817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6" name="TextBox 305"/>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7" name="TextBox 1"/>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8" name="TextBox 1"/>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09"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4763</xdr:rowOff>
    </xdr:to>
    <xdr:sp macro="" textlink="">
      <xdr:nvSpPr>
        <xdr:cNvPr id="310" name="TextBox 1"/>
        <xdr:cNvSpPr txBox="1">
          <a:spLocks noChangeArrowheads="1"/>
        </xdr:cNvSpPr>
      </xdr:nvSpPr>
      <xdr:spPr bwMode="auto">
        <a:xfrm>
          <a:off x="3362325" y="2099024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11"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12"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42110</xdr:colOff>
      <xdr:row>516</xdr:row>
      <xdr:rowOff>0</xdr:rowOff>
    </xdr:from>
    <xdr:to>
      <xdr:col>5</xdr:col>
      <xdr:colOff>232610</xdr:colOff>
      <xdr:row>517</xdr:row>
      <xdr:rowOff>4763</xdr:rowOff>
    </xdr:to>
    <xdr:sp macro="" textlink="">
      <xdr:nvSpPr>
        <xdr:cNvPr id="313" name="TextBox 1"/>
        <xdr:cNvSpPr txBox="1">
          <a:spLocks noChangeArrowheads="1"/>
        </xdr:cNvSpPr>
      </xdr:nvSpPr>
      <xdr:spPr bwMode="auto">
        <a:xfrm>
          <a:off x="3623510" y="2099024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4" name="TextBox 313"/>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5" name="TextBox 314"/>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1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2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2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5" name="TextBox 324"/>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6" name="TextBox 325"/>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204</xdr:row>
      <xdr:rowOff>0</xdr:rowOff>
    </xdr:from>
    <xdr:to>
      <xdr:col>4</xdr:col>
      <xdr:colOff>485775</xdr:colOff>
      <xdr:row>205</xdr:row>
      <xdr:rowOff>7938</xdr:rowOff>
    </xdr:to>
    <xdr:sp macro="" textlink="">
      <xdr:nvSpPr>
        <xdr:cNvPr id="327" name="TextBox 1"/>
        <xdr:cNvSpPr txBox="1">
          <a:spLocks noChangeArrowheads="1"/>
        </xdr:cNvSpPr>
      </xdr:nvSpPr>
      <xdr:spPr bwMode="auto">
        <a:xfrm>
          <a:off x="3314700"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8"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29"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0"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1"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2"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3"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4"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5"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204</xdr:row>
      <xdr:rowOff>0</xdr:rowOff>
    </xdr:from>
    <xdr:to>
      <xdr:col>5</xdr:col>
      <xdr:colOff>144462</xdr:colOff>
      <xdr:row>204</xdr:row>
      <xdr:rowOff>63500</xdr:rowOff>
    </xdr:to>
    <xdr:sp macro="" textlink="">
      <xdr:nvSpPr>
        <xdr:cNvPr id="336" name="TextBox 335"/>
        <xdr:cNvSpPr txBox="1">
          <a:spLocks noChangeArrowheads="1"/>
        </xdr:cNvSpPr>
      </xdr:nvSpPr>
      <xdr:spPr bwMode="auto">
        <a:xfrm>
          <a:off x="3536950" y="5816917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7"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8"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9"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0"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1"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2"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3"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4"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5"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6" name="TextBox 345"/>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7"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8"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9" name="TextBox 348"/>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50"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51" name="TextBox 350"/>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52" name="TextBox 35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53" name="TextBox 352"/>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5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206</xdr:row>
      <xdr:rowOff>48044</xdr:rowOff>
    </xdr:to>
    <xdr:sp macro="" textlink="">
      <xdr:nvSpPr>
        <xdr:cNvPr id="362" name="TextBox 361"/>
        <xdr:cNvSpPr txBox="1">
          <a:spLocks noChangeArrowheads="1"/>
        </xdr:cNvSpPr>
      </xdr:nvSpPr>
      <xdr:spPr bwMode="auto">
        <a:xfrm>
          <a:off x="3362325" y="58169175"/>
          <a:ext cx="190500" cy="371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6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7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1"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2"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3"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4"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5"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6"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7" name="TextBox 376"/>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6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6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204</xdr:row>
      <xdr:rowOff>0</xdr:rowOff>
    </xdr:from>
    <xdr:to>
      <xdr:col>5</xdr:col>
      <xdr:colOff>342900</xdr:colOff>
      <xdr:row>205</xdr:row>
      <xdr:rowOff>3176</xdr:rowOff>
    </xdr:to>
    <xdr:sp macro="" textlink="">
      <xdr:nvSpPr>
        <xdr:cNvPr id="502" name="TextBox 1"/>
        <xdr:cNvSpPr txBox="1">
          <a:spLocks noChangeArrowheads="1"/>
        </xdr:cNvSpPr>
      </xdr:nvSpPr>
      <xdr:spPr bwMode="auto">
        <a:xfrm>
          <a:off x="3733800"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204</xdr:row>
      <xdr:rowOff>0</xdr:rowOff>
    </xdr:from>
    <xdr:to>
      <xdr:col>5</xdr:col>
      <xdr:colOff>334962</xdr:colOff>
      <xdr:row>205</xdr:row>
      <xdr:rowOff>3176</xdr:rowOff>
    </xdr:to>
    <xdr:sp macro="" textlink="">
      <xdr:nvSpPr>
        <xdr:cNvPr id="503" name="TextBox 1"/>
        <xdr:cNvSpPr txBox="1">
          <a:spLocks noChangeArrowheads="1"/>
        </xdr:cNvSpPr>
      </xdr:nvSpPr>
      <xdr:spPr bwMode="auto">
        <a:xfrm>
          <a:off x="3725862"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204</xdr:row>
      <xdr:rowOff>0</xdr:rowOff>
    </xdr:from>
    <xdr:to>
      <xdr:col>5</xdr:col>
      <xdr:colOff>422274</xdr:colOff>
      <xdr:row>204</xdr:row>
      <xdr:rowOff>111125</xdr:rowOff>
    </xdr:to>
    <xdr:sp macro="" textlink="">
      <xdr:nvSpPr>
        <xdr:cNvPr id="504" name="TextBox 1"/>
        <xdr:cNvSpPr txBox="1">
          <a:spLocks noChangeArrowheads="1"/>
        </xdr:cNvSpPr>
      </xdr:nvSpPr>
      <xdr:spPr bwMode="auto">
        <a:xfrm>
          <a:off x="3813174" y="5816917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204</xdr:row>
      <xdr:rowOff>0</xdr:rowOff>
    </xdr:from>
    <xdr:to>
      <xdr:col>4</xdr:col>
      <xdr:colOff>501650</xdr:colOff>
      <xdr:row>204</xdr:row>
      <xdr:rowOff>4761</xdr:rowOff>
    </xdr:to>
    <xdr:sp macro="" textlink="">
      <xdr:nvSpPr>
        <xdr:cNvPr id="505" name="TextBox 1"/>
        <xdr:cNvSpPr txBox="1">
          <a:spLocks noChangeArrowheads="1"/>
        </xdr:cNvSpPr>
      </xdr:nvSpPr>
      <xdr:spPr bwMode="auto">
        <a:xfrm>
          <a:off x="3330575" y="5816917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3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3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3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4763</xdr:rowOff>
    </xdr:to>
    <xdr:sp macro="" textlink="">
      <xdr:nvSpPr>
        <xdr:cNvPr id="533" name="TextBox 532"/>
        <xdr:cNvSpPr txBox="1">
          <a:spLocks noChangeArrowheads="1"/>
        </xdr:cNvSpPr>
      </xdr:nvSpPr>
      <xdr:spPr bwMode="auto">
        <a:xfrm>
          <a:off x="3362325" y="58169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4"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4763</xdr:rowOff>
    </xdr:to>
    <xdr:sp macro="" textlink="">
      <xdr:nvSpPr>
        <xdr:cNvPr id="535" name="TextBox 1"/>
        <xdr:cNvSpPr txBox="1">
          <a:spLocks noChangeArrowheads="1"/>
        </xdr:cNvSpPr>
      </xdr:nvSpPr>
      <xdr:spPr bwMode="auto">
        <a:xfrm>
          <a:off x="3362325" y="58169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6"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7"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8"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9"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40"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41"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204</xdr:row>
      <xdr:rowOff>0</xdr:rowOff>
    </xdr:from>
    <xdr:to>
      <xdr:col>5</xdr:col>
      <xdr:colOff>295274</xdr:colOff>
      <xdr:row>205</xdr:row>
      <xdr:rowOff>4764</xdr:rowOff>
    </xdr:to>
    <xdr:sp macro="" textlink="">
      <xdr:nvSpPr>
        <xdr:cNvPr id="542" name="TextBox 541"/>
        <xdr:cNvSpPr txBox="1">
          <a:spLocks noChangeArrowheads="1"/>
        </xdr:cNvSpPr>
      </xdr:nvSpPr>
      <xdr:spPr bwMode="auto">
        <a:xfrm>
          <a:off x="3686174"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3"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204</xdr:row>
      <xdr:rowOff>0</xdr:rowOff>
    </xdr:from>
    <xdr:to>
      <xdr:col>7</xdr:col>
      <xdr:colOff>263525</xdr:colOff>
      <xdr:row>205</xdr:row>
      <xdr:rowOff>4764</xdr:rowOff>
    </xdr:to>
    <xdr:sp macro="" textlink="">
      <xdr:nvSpPr>
        <xdr:cNvPr id="544" name="TextBox 1"/>
        <xdr:cNvSpPr txBox="1">
          <a:spLocks noChangeArrowheads="1"/>
        </xdr:cNvSpPr>
      </xdr:nvSpPr>
      <xdr:spPr bwMode="auto">
        <a:xfrm>
          <a:off x="53308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5"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6"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7"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8"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9"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122739</xdr:colOff>
      <xdr:row>204</xdr:row>
      <xdr:rowOff>0</xdr:rowOff>
    </xdr:from>
    <xdr:to>
      <xdr:col>7</xdr:col>
      <xdr:colOff>313239</xdr:colOff>
      <xdr:row>204</xdr:row>
      <xdr:rowOff>133350</xdr:rowOff>
    </xdr:to>
    <xdr:sp macro="" textlink="">
      <xdr:nvSpPr>
        <xdr:cNvPr id="550" name="TextBox 1"/>
        <xdr:cNvSpPr txBox="1">
          <a:spLocks noChangeArrowheads="1"/>
        </xdr:cNvSpPr>
      </xdr:nvSpPr>
      <xdr:spPr bwMode="auto">
        <a:xfrm>
          <a:off x="5380539"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51" name="TextBox 550"/>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5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0" name="TextBox 559"/>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9" name="TextBox 568"/>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8" name="TextBox 577"/>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8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4764</xdr:rowOff>
    </xdr:to>
    <xdr:sp macro="" textlink="">
      <xdr:nvSpPr>
        <xdr:cNvPr id="582" name="TextBox 1"/>
        <xdr:cNvSpPr txBox="1">
          <a:spLocks noChangeArrowheads="1"/>
        </xdr:cNvSpPr>
      </xdr:nvSpPr>
      <xdr:spPr bwMode="auto">
        <a:xfrm>
          <a:off x="33623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4764</xdr:rowOff>
    </xdr:to>
    <xdr:sp macro="" textlink="">
      <xdr:nvSpPr>
        <xdr:cNvPr id="585" name="TextBox 1"/>
        <xdr:cNvSpPr txBox="1">
          <a:spLocks noChangeArrowheads="1"/>
        </xdr:cNvSpPr>
      </xdr:nvSpPr>
      <xdr:spPr bwMode="auto">
        <a:xfrm>
          <a:off x="33623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374</xdr:row>
      <xdr:rowOff>0</xdr:rowOff>
    </xdr:from>
    <xdr:ext cx="190500" cy="257175"/>
    <xdr:sp macro="" textlink="">
      <xdr:nvSpPr>
        <xdr:cNvPr id="587" name="TextBox 1"/>
        <xdr:cNvSpPr txBox="1">
          <a:spLocks noChangeArrowheads="1"/>
        </xdr:cNvSpPr>
      </xdr:nvSpPr>
      <xdr:spPr bwMode="auto">
        <a:xfrm>
          <a:off x="3362325" y="1465421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469</xdr:row>
      <xdr:rowOff>0</xdr:rowOff>
    </xdr:from>
    <xdr:to>
      <xdr:col>4</xdr:col>
      <xdr:colOff>533400</xdr:colOff>
      <xdr:row>470</xdr:row>
      <xdr:rowOff>95250</xdr:rowOff>
    </xdr:to>
    <xdr:sp macro="" textlink="">
      <xdr:nvSpPr>
        <xdr:cNvPr id="588" name="TextBox 587"/>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89" name="TextBox 588"/>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90"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91"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599" name="TextBox 598"/>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0" name="TextBox 599"/>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1"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2"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3"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4"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5"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6"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7"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8"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469</xdr:row>
      <xdr:rowOff>0</xdr:rowOff>
    </xdr:from>
    <xdr:to>
      <xdr:col>5</xdr:col>
      <xdr:colOff>144462</xdr:colOff>
      <xdr:row>469</xdr:row>
      <xdr:rowOff>63500</xdr:rowOff>
    </xdr:to>
    <xdr:sp macro="" textlink="">
      <xdr:nvSpPr>
        <xdr:cNvPr id="609" name="TextBox 608"/>
        <xdr:cNvSpPr txBox="1">
          <a:spLocks noChangeArrowheads="1"/>
        </xdr:cNvSpPr>
      </xdr:nvSpPr>
      <xdr:spPr bwMode="auto">
        <a:xfrm>
          <a:off x="3536950" y="1887188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0"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1"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2"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3"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4"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5"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6"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7"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8"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9" name="TextBox 618"/>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0"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1"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2" name="TextBox 62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3"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24" name="TextBox 623"/>
        <xdr:cNvSpPr txBox="1">
          <a:spLocks noChangeArrowheads="1"/>
        </xdr:cNvSpPr>
      </xdr:nvSpPr>
      <xdr:spPr bwMode="auto">
        <a:xfrm>
          <a:off x="3362325" y="188718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25" name="TextBox 624"/>
        <xdr:cNvSpPr txBox="1">
          <a:spLocks noChangeArrowheads="1"/>
        </xdr:cNvSpPr>
      </xdr:nvSpPr>
      <xdr:spPr bwMode="auto">
        <a:xfrm>
          <a:off x="3362325" y="188718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26" name="TextBox 625"/>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28"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36"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3"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4"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5"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6"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7"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8"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49" name="TextBox 648"/>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5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5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18"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19"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0"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1"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2"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3"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4"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4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469</xdr:row>
      <xdr:rowOff>0</xdr:rowOff>
    </xdr:from>
    <xdr:to>
      <xdr:col>5</xdr:col>
      <xdr:colOff>342900</xdr:colOff>
      <xdr:row>470</xdr:row>
      <xdr:rowOff>3175</xdr:rowOff>
    </xdr:to>
    <xdr:sp macro="" textlink="">
      <xdr:nvSpPr>
        <xdr:cNvPr id="774" name="TextBox 1"/>
        <xdr:cNvSpPr txBox="1">
          <a:spLocks noChangeArrowheads="1"/>
        </xdr:cNvSpPr>
      </xdr:nvSpPr>
      <xdr:spPr bwMode="auto">
        <a:xfrm>
          <a:off x="37338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469</xdr:row>
      <xdr:rowOff>0</xdr:rowOff>
    </xdr:from>
    <xdr:to>
      <xdr:col>5</xdr:col>
      <xdr:colOff>334962</xdr:colOff>
      <xdr:row>470</xdr:row>
      <xdr:rowOff>3175</xdr:rowOff>
    </xdr:to>
    <xdr:sp macro="" textlink="">
      <xdr:nvSpPr>
        <xdr:cNvPr id="775" name="TextBox 1"/>
        <xdr:cNvSpPr txBox="1">
          <a:spLocks noChangeArrowheads="1"/>
        </xdr:cNvSpPr>
      </xdr:nvSpPr>
      <xdr:spPr bwMode="auto">
        <a:xfrm>
          <a:off x="3725862"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469</xdr:row>
      <xdr:rowOff>0</xdr:rowOff>
    </xdr:from>
    <xdr:to>
      <xdr:col>5</xdr:col>
      <xdr:colOff>422274</xdr:colOff>
      <xdr:row>469</xdr:row>
      <xdr:rowOff>111125</xdr:rowOff>
    </xdr:to>
    <xdr:sp macro="" textlink="">
      <xdr:nvSpPr>
        <xdr:cNvPr id="776" name="TextBox 1"/>
        <xdr:cNvSpPr txBox="1">
          <a:spLocks noChangeArrowheads="1"/>
        </xdr:cNvSpPr>
      </xdr:nvSpPr>
      <xdr:spPr bwMode="auto">
        <a:xfrm>
          <a:off x="3813174" y="18871882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469</xdr:row>
      <xdr:rowOff>0</xdr:rowOff>
    </xdr:from>
    <xdr:to>
      <xdr:col>4</xdr:col>
      <xdr:colOff>501650</xdr:colOff>
      <xdr:row>469</xdr:row>
      <xdr:rowOff>4761</xdr:rowOff>
    </xdr:to>
    <xdr:sp macro="" textlink="">
      <xdr:nvSpPr>
        <xdr:cNvPr id="777" name="TextBox 1"/>
        <xdr:cNvSpPr txBox="1">
          <a:spLocks noChangeArrowheads="1"/>
        </xdr:cNvSpPr>
      </xdr:nvSpPr>
      <xdr:spPr bwMode="auto">
        <a:xfrm>
          <a:off x="3330575" y="18871882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0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71436</xdr:rowOff>
    </xdr:to>
    <xdr:sp macro="" textlink="">
      <xdr:nvSpPr>
        <xdr:cNvPr id="805" name="TextBox 804"/>
        <xdr:cNvSpPr txBox="1">
          <a:spLocks noChangeArrowheads="1"/>
        </xdr:cNvSpPr>
      </xdr:nvSpPr>
      <xdr:spPr bwMode="auto">
        <a:xfrm>
          <a:off x="3362325" y="188718825"/>
          <a:ext cx="190500" cy="23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6"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71436</xdr:rowOff>
    </xdr:to>
    <xdr:sp macro="" textlink="">
      <xdr:nvSpPr>
        <xdr:cNvPr id="807" name="TextBox 1"/>
        <xdr:cNvSpPr txBox="1">
          <a:spLocks noChangeArrowheads="1"/>
        </xdr:cNvSpPr>
      </xdr:nvSpPr>
      <xdr:spPr bwMode="auto">
        <a:xfrm>
          <a:off x="3362325" y="188718825"/>
          <a:ext cx="190500" cy="23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8"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9"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0"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1"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2"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3"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469</xdr:row>
      <xdr:rowOff>0</xdr:rowOff>
    </xdr:from>
    <xdr:to>
      <xdr:col>5</xdr:col>
      <xdr:colOff>295274</xdr:colOff>
      <xdr:row>470</xdr:row>
      <xdr:rowOff>71437</xdr:rowOff>
    </xdr:to>
    <xdr:sp macro="" textlink="">
      <xdr:nvSpPr>
        <xdr:cNvPr id="814" name="TextBox 813"/>
        <xdr:cNvSpPr txBox="1">
          <a:spLocks noChangeArrowheads="1"/>
        </xdr:cNvSpPr>
      </xdr:nvSpPr>
      <xdr:spPr bwMode="auto">
        <a:xfrm>
          <a:off x="3686174" y="188718825"/>
          <a:ext cx="190500"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5"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469</xdr:row>
      <xdr:rowOff>0</xdr:rowOff>
    </xdr:from>
    <xdr:to>
      <xdr:col>7</xdr:col>
      <xdr:colOff>263525</xdr:colOff>
      <xdr:row>470</xdr:row>
      <xdr:rowOff>71437</xdr:rowOff>
    </xdr:to>
    <xdr:sp macro="" textlink="">
      <xdr:nvSpPr>
        <xdr:cNvPr id="816" name="TextBox 1"/>
        <xdr:cNvSpPr txBox="1">
          <a:spLocks noChangeArrowheads="1"/>
        </xdr:cNvSpPr>
      </xdr:nvSpPr>
      <xdr:spPr bwMode="auto">
        <a:xfrm>
          <a:off x="5330825" y="188718825"/>
          <a:ext cx="190500"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7"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8"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9"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20"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21"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469</xdr:row>
      <xdr:rowOff>0</xdr:rowOff>
    </xdr:from>
    <xdr:to>
      <xdr:col>7</xdr:col>
      <xdr:colOff>430213</xdr:colOff>
      <xdr:row>469</xdr:row>
      <xdr:rowOff>133350</xdr:rowOff>
    </xdr:to>
    <xdr:sp macro="" textlink="">
      <xdr:nvSpPr>
        <xdr:cNvPr id="822" name="TextBox 1"/>
        <xdr:cNvSpPr txBox="1">
          <a:spLocks noChangeArrowheads="1"/>
        </xdr:cNvSpPr>
      </xdr:nvSpPr>
      <xdr:spPr bwMode="auto">
        <a:xfrm>
          <a:off x="5497513"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23" name="TextBox 822"/>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2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32" name="TextBox 83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3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41" name="TextBox 840"/>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4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0" name="TextBox 849"/>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1" name="TextBox 1"/>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2" name="TextBox 1"/>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23813</xdr:rowOff>
    </xdr:to>
    <xdr:sp macro="" textlink="">
      <xdr:nvSpPr>
        <xdr:cNvPr id="854" name="TextBox 1"/>
        <xdr:cNvSpPr txBox="1">
          <a:spLocks noChangeArrowheads="1"/>
        </xdr:cNvSpPr>
      </xdr:nvSpPr>
      <xdr:spPr bwMode="auto">
        <a:xfrm>
          <a:off x="3362325" y="188718825"/>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23813</xdr:rowOff>
    </xdr:to>
    <xdr:sp macro="" textlink="">
      <xdr:nvSpPr>
        <xdr:cNvPr id="857" name="TextBox 1"/>
        <xdr:cNvSpPr txBox="1">
          <a:spLocks noChangeArrowheads="1"/>
        </xdr:cNvSpPr>
      </xdr:nvSpPr>
      <xdr:spPr bwMode="auto">
        <a:xfrm>
          <a:off x="3362325" y="188718825"/>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58" name="TextBox 857"/>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6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469</xdr:row>
      <xdr:rowOff>0</xdr:rowOff>
    </xdr:from>
    <xdr:ext cx="190500" cy="257175"/>
    <xdr:sp macro="" textlink="">
      <xdr:nvSpPr>
        <xdr:cNvPr id="86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6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6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469</xdr:row>
      <xdr:rowOff>0</xdr:rowOff>
    </xdr:from>
    <xdr:ext cx="190500" cy="257175"/>
    <xdr:sp macro="" textlink="">
      <xdr:nvSpPr>
        <xdr:cNvPr id="874" name="TextBox 1"/>
        <xdr:cNvSpPr txBox="1">
          <a:spLocks noChangeArrowheads="1"/>
        </xdr:cNvSpPr>
      </xdr:nvSpPr>
      <xdr:spPr bwMode="auto">
        <a:xfrm>
          <a:off x="353377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469</xdr:row>
      <xdr:rowOff>0</xdr:rowOff>
    </xdr:from>
    <xdr:to>
      <xdr:col>4</xdr:col>
      <xdr:colOff>533400</xdr:colOff>
      <xdr:row>470</xdr:row>
      <xdr:rowOff>128671</xdr:rowOff>
    </xdr:to>
    <xdr:sp macro="" textlink="">
      <xdr:nvSpPr>
        <xdr:cNvPr id="879" name="TextBox 1"/>
        <xdr:cNvSpPr txBox="1">
          <a:spLocks noChangeArrowheads="1"/>
        </xdr:cNvSpPr>
      </xdr:nvSpPr>
      <xdr:spPr bwMode="auto">
        <a:xfrm>
          <a:off x="3362325" y="188718825"/>
          <a:ext cx="190500" cy="2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0"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1"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2"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3"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4"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5" name="TextBox 884"/>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6"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7"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8"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4763</xdr:rowOff>
    </xdr:to>
    <xdr:sp macro="" textlink="">
      <xdr:nvSpPr>
        <xdr:cNvPr id="889" name="TextBox 1"/>
        <xdr:cNvSpPr txBox="1">
          <a:spLocks noChangeArrowheads="1"/>
        </xdr:cNvSpPr>
      </xdr:nvSpPr>
      <xdr:spPr bwMode="auto">
        <a:xfrm>
          <a:off x="3924300" y="1887188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90"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91"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4763</xdr:rowOff>
    </xdr:to>
    <xdr:sp macro="" textlink="">
      <xdr:nvSpPr>
        <xdr:cNvPr id="892" name="TextBox 1"/>
        <xdr:cNvSpPr txBox="1">
          <a:spLocks noChangeArrowheads="1"/>
        </xdr:cNvSpPr>
      </xdr:nvSpPr>
      <xdr:spPr bwMode="auto">
        <a:xfrm>
          <a:off x="3924300" y="1887188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469</xdr:row>
      <xdr:rowOff>0</xdr:rowOff>
    </xdr:from>
    <xdr:ext cx="190500" cy="257175"/>
    <xdr:sp macro="" textlink="">
      <xdr:nvSpPr>
        <xdr:cNvPr id="89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87420"/>
    <xdr:sp macro="" textlink="">
      <xdr:nvSpPr>
        <xdr:cNvPr id="905" name="TextBox 1"/>
        <xdr:cNvSpPr txBox="1">
          <a:spLocks noChangeArrowheads="1"/>
        </xdr:cNvSpPr>
      </xdr:nvSpPr>
      <xdr:spPr bwMode="auto">
        <a:xfrm>
          <a:off x="3362325" y="188718825"/>
          <a:ext cx="190500" cy="28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0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1" name="TextBox 910"/>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1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1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4" name="TextBox 923"/>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2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3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7" name="TextBox 936"/>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4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4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4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4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0" name="TextBox 949"/>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5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5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3" name="TextBox 962"/>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6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7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6" name="TextBox 975"/>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8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8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9" name="TextBox 988"/>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9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9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2" name="TextBox 100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0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0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5" name="TextBox 1014"/>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1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2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8" name="TextBox 1027"/>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3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3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3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3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1" name="TextBox 1040"/>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4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4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4" name="TextBox 1053"/>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5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6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7" name="TextBox 1066"/>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7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7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7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7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0" name="TextBox 1079"/>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8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8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3" name="TextBox 1092"/>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9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0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6" name="TextBox 1105"/>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1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1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9" name="TextBox 1118"/>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2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2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2" name="TextBox 113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3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3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5" name="TextBox 1144"/>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4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5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8" name="TextBox 1157"/>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6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6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6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482</xdr:row>
      <xdr:rowOff>0</xdr:rowOff>
    </xdr:from>
    <xdr:to>
      <xdr:col>4</xdr:col>
      <xdr:colOff>533400</xdr:colOff>
      <xdr:row>482</xdr:row>
      <xdr:rowOff>158750</xdr:rowOff>
    </xdr:to>
    <xdr:sp macro="" textlink="">
      <xdr:nvSpPr>
        <xdr:cNvPr id="1166" name="TextBox 1165"/>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7" name="TextBox 1166"/>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8"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9"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77" name="TextBox 1176"/>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78" name="TextBox 1177"/>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482</xdr:row>
      <xdr:rowOff>0</xdr:rowOff>
    </xdr:from>
    <xdr:to>
      <xdr:col>4</xdr:col>
      <xdr:colOff>485775</xdr:colOff>
      <xdr:row>484</xdr:row>
      <xdr:rowOff>113380</xdr:rowOff>
    </xdr:to>
    <xdr:sp macro="" textlink="">
      <xdr:nvSpPr>
        <xdr:cNvPr id="1179" name="TextBox 1"/>
        <xdr:cNvSpPr txBox="1">
          <a:spLocks noChangeArrowheads="1"/>
        </xdr:cNvSpPr>
      </xdr:nvSpPr>
      <xdr:spPr bwMode="auto">
        <a:xfrm>
          <a:off x="3314700"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0"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1"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2"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3"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4"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5"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6"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7"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482</xdr:row>
      <xdr:rowOff>0</xdr:rowOff>
    </xdr:from>
    <xdr:to>
      <xdr:col>5</xdr:col>
      <xdr:colOff>144462</xdr:colOff>
      <xdr:row>482</xdr:row>
      <xdr:rowOff>63500</xdr:rowOff>
    </xdr:to>
    <xdr:sp macro="" textlink="">
      <xdr:nvSpPr>
        <xdr:cNvPr id="1188" name="TextBox 1187"/>
        <xdr:cNvSpPr txBox="1">
          <a:spLocks noChangeArrowheads="1"/>
        </xdr:cNvSpPr>
      </xdr:nvSpPr>
      <xdr:spPr bwMode="auto">
        <a:xfrm>
          <a:off x="3536950" y="1939861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9"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0"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1"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2"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3"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4"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5"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6"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7"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8" name="TextBox 1197"/>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9"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0"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1" name="TextBox 1200"/>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2"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203" name="TextBox 1202"/>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204" name="TextBox 1203"/>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05" name="TextBox 1204"/>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07"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177385</xdr:rowOff>
    </xdr:to>
    <xdr:sp macro="" textlink="">
      <xdr:nvSpPr>
        <xdr:cNvPr id="1214" name="TextBox 1213"/>
        <xdr:cNvSpPr txBox="1">
          <a:spLocks noChangeArrowheads="1"/>
        </xdr:cNvSpPr>
      </xdr:nvSpPr>
      <xdr:spPr bwMode="auto">
        <a:xfrm>
          <a:off x="3362325" y="193986150"/>
          <a:ext cx="190500" cy="64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16"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3"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4"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5"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6"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7"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8"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29" name="TextBox 1228"/>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7"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3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3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98"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99"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7"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8"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9"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2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482</xdr:row>
      <xdr:rowOff>0</xdr:rowOff>
    </xdr:from>
    <xdr:to>
      <xdr:col>5</xdr:col>
      <xdr:colOff>342900</xdr:colOff>
      <xdr:row>484</xdr:row>
      <xdr:rowOff>108618</xdr:rowOff>
    </xdr:to>
    <xdr:sp macro="" textlink="">
      <xdr:nvSpPr>
        <xdr:cNvPr id="1354" name="TextBox 1"/>
        <xdr:cNvSpPr txBox="1">
          <a:spLocks noChangeArrowheads="1"/>
        </xdr:cNvSpPr>
      </xdr:nvSpPr>
      <xdr:spPr bwMode="auto">
        <a:xfrm>
          <a:off x="37338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482</xdr:row>
      <xdr:rowOff>0</xdr:rowOff>
    </xdr:from>
    <xdr:to>
      <xdr:col>5</xdr:col>
      <xdr:colOff>334962</xdr:colOff>
      <xdr:row>484</xdr:row>
      <xdr:rowOff>108618</xdr:rowOff>
    </xdr:to>
    <xdr:sp macro="" textlink="">
      <xdr:nvSpPr>
        <xdr:cNvPr id="1355" name="TextBox 1"/>
        <xdr:cNvSpPr txBox="1">
          <a:spLocks noChangeArrowheads="1"/>
        </xdr:cNvSpPr>
      </xdr:nvSpPr>
      <xdr:spPr bwMode="auto">
        <a:xfrm>
          <a:off x="3725862"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482</xdr:row>
      <xdr:rowOff>0</xdr:rowOff>
    </xdr:from>
    <xdr:to>
      <xdr:col>5</xdr:col>
      <xdr:colOff>422274</xdr:colOff>
      <xdr:row>482</xdr:row>
      <xdr:rowOff>111125</xdr:rowOff>
    </xdr:to>
    <xdr:sp macro="" textlink="">
      <xdr:nvSpPr>
        <xdr:cNvPr id="1356" name="TextBox 1"/>
        <xdr:cNvSpPr txBox="1">
          <a:spLocks noChangeArrowheads="1"/>
        </xdr:cNvSpPr>
      </xdr:nvSpPr>
      <xdr:spPr bwMode="auto">
        <a:xfrm>
          <a:off x="3813174" y="1939861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482</xdr:row>
      <xdr:rowOff>0</xdr:rowOff>
    </xdr:from>
    <xdr:to>
      <xdr:col>4</xdr:col>
      <xdr:colOff>501650</xdr:colOff>
      <xdr:row>482</xdr:row>
      <xdr:rowOff>4761</xdr:rowOff>
    </xdr:to>
    <xdr:sp macro="" textlink="">
      <xdr:nvSpPr>
        <xdr:cNvPr id="1357" name="TextBox 1"/>
        <xdr:cNvSpPr txBox="1">
          <a:spLocks noChangeArrowheads="1"/>
        </xdr:cNvSpPr>
      </xdr:nvSpPr>
      <xdr:spPr bwMode="auto">
        <a:xfrm>
          <a:off x="3330575" y="1939861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8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110204</xdr:rowOff>
    </xdr:to>
    <xdr:sp macro="" textlink="">
      <xdr:nvSpPr>
        <xdr:cNvPr id="1385" name="TextBox 1384"/>
        <xdr:cNvSpPr txBox="1">
          <a:spLocks noChangeArrowheads="1"/>
        </xdr:cNvSpPr>
      </xdr:nvSpPr>
      <xdr:spPr bwMode="auto">
        <a:xfrm>
          <a:off x="3362325" y="193986150"/>
          <a:ext cx="190500" cy="57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6"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110204</xdr:rowOff>
    </xdr:to>
    <xdr:sp macro="" textlink="">
      <xdr:nvSpPr>
        <xdr:cNvPr id="1387" name="TextBox 1"/>
        <xdr:cNvSpPr txBox="1">
          <a:spLocks noChangeArrowheads="1"/>
        </xdr:cNvSpPr>
      </xdr:nvSpPr>
      <xdr:spPr bwMode="auto">
        <a:xfrm>
          <a:off x="3362325" y="193986150"/>
          <a:ext cx="190500" cy="57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8"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9"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0"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1"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2"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3"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482</xdr:row>
      <xdr:rowOff>0</xdr:rowOff>
    </xdr:from>
    <xdr:to>
      <xdr:col>5</xdr:col>
      <xdr:colOff>295274</xdr:colOff>
      <xdr:row>484</xdr:row>
      <xdr:rowOff>110205</xdr:rowOff>
    </xdr:to>
    <xdr:sp macro="" textlink="">
      <xdr:nvSpPr>
        <xdr:cNvPr id="1394" name="TextBox 1393"/>
        <xdr:cNvSpPr txBox="1">
          <a:spLocks noChangeArrowheads="1"/>
        </xdr:cNvSpPr>
      </xdr:nvSpPr>
      <xdr:spPr bwMode="auto">
        <a:xfrm>
          <a:off x="3686174" y="193986150"/>
          <a:ext cx="190500" cy="576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5"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482</xdr:row>
      <xdr:rowOff>0</xdr:rowOff>
    </xdr:from>
    <xdr:to>
      <xdr:col>7</xdr:col>
      <xdr:colOff>263525</xdr:colOff>
      <xdr:row>484</xdr:row>
      <xdr:rowOff>110205</xdr:rowOff>
    </xdr:to>
    <xdr:sp macro="" textlink="">
      <xdr:nvSpPr>
        <xdr:cNvPr id="1396" name="TextBox 1"/>
        <xdr:cNvSpPr txBox="1">
          <a:spLocks noChangeArrowheads="1"/>
        </xdr:cNvSpPr>
      </xdr:nvSpPr>
      <xdr:spPr bwMode="auto">
        <a:xfrm>
          <a:off x="5330825" y="193986150"/>
          <a:ext cx="190500" cy="576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7"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8"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9"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400"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401"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482</xdr:row>
      <xdr:rowOff>0</xdr:rowOff>
    </xdr:from>
    <xdr:to>
      <xdr:col>7</xdr:col>
      <xdr:colOff>430213</xdr:colOff>
      <xdr:row>482</xdr:row>
      <xdr:rowOff>133350</xdr:rowOff>
    </xdr:to>
    <xdr:sp macro="" textlink="">
      <xdr:nvSpPr>
        <xdr:cNvPr id="1402" name="TextBox 1"/>
        <xdr:cNvSpPr txBox="1">
          <a:spLocks noChangeArrowheads="1"/>
        </xdr:cNvSpPr>
      </xdr:nvSpPr>
      <xdr:spPr bwMode="auto">
        <a:xfrm>
          <a:off x="5497513"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03" name="TextBox 1402"/>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0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12" name="TextBox 141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1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21" name="TextBox 1420"/>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2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0" name="TextBox 1429"/>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1" name="TextBox 1"/>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2" name="TextBox 1"/>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110206</xdr:rowOff>
    </xdr:to>
    <xdr:sp macro="" textlink="">
      <xdr:nvSpPr>
        <xdr:cNvPr id="1434" name="TextBox 1"/>
        <xdr:cNvSpPr txBox="1">
          <a:spLocks noChangeArrowheads="1"/>
        </xdr:cNvSpPr>
      </xdr:nvSpPr>
      <xdr:spPr bwMode="auto">
        <a:xfrm>
          <a:off x="3362325"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110206</xdr:rowOff>
    </xdr:to>
    <xdr:sp macro="" textlink="">
      <xdr:nvSpPr>
        <xdr:cNvPr id="1437" name="TextBox 1"/>
        <xdr:cNvSpPr txBox="1">
          <a:spLocks noChangeArrowheads="1"/>
        </xdr:cNvSpPr>
      </xdr:nvSpPr>
      <xdr:spPr bwMode="auto">
        <a:xfrm>
          <a:off x="3362325"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38" name="TextBox 1437"/>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4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482</xdr:row>
      <xdr:rowOff>0</xdr:rowOff>
    </xdr:from>
    <xdr:ext cx="190500" cy="257175"/>
    <xdr:sp macro="" textlink="">
      <xdr:nvSpPr>
        <xdr:cNvPr id="144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4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49"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0"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1"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2"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3"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482</xdr:row>
      <xdr:rowOff>0</xdr:rowOff>
    </xdr:from>
    <xdr:ext cx="190500" cy="257175"/>
    <xdr:sp macro="" textlink="">
      <xdr:nvSpPr>
        <xdr:cNvPr id="1454" name="TextBox 1"/>
        <xdr:cNvSpPr txBox="1">
          <a:spLocks noChangeArrowheads="1"/>
        </xdr:cNvSpPr>
      </xdr:nvSpPr>
      <xdr:spPr bwMode="auto">
        <a:xfrm>
          <a:off x="353377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482</xdr:row>
      <xdr:rowOff>0</xdr:rowOff>
    </xdr:from>
    <xdr:to>
      <xdr:col>4</xdr:col>
      <xdr:colOff>533400</xdr:colOff>
      <xdr:row>484</xdr:row>
      <xdr:rowOff>110289</xdr:rowOff>
    </xdr:to>
    <xdr:sp macro="" textlink="">
      <xdr:nvSpPr>
        <xdr:cNvPr id="1459" name="TextBox 1"/>
        <xdr:cNvSpPr txBox="1">
          <a:spLocks noChangeArrowheads="1"/>
        </xdr:cNvSpPr>
      </xdr:nvSpPr>
      <xdr:spPr bwMode="auto">
        <a:xfrm>
          <a:off x="3362325" y="193986150"/>
          <a:ext cx="190500" cy="57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0"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1"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2"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3"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4"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5" name="TextBox 1464"/>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6"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7"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8"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110206</xdr:rowOff>
    </xdr:to>
    <xdr:sp macro="" textlink="">
      <xdr:nvSpPr>
        <xdr:cNvPr id="1469" name="TextBox 1"/>
        <xdr:cNvSpPr txBox="1">
          <a:spLocks noChangeArrowheads="1"/>
        </xdr:cNvSpPr>
      </xdr:nvSpPr>
      <xdr:spPr bwMode="auto">
        <a:xfrm>
          <a:off x="3924300"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70"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71"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110206</xdr:rowOff>
    </xdr:to>
    <xdr:sp macro="" textlink="">
      <xdr:nvSpPr>
        <xdr:cNvPr id="1472" name="TextBox 1"/>
        <xdr:cNvSpPr txBox="1">
          <a:spLocks noChangeArrowheads="1"/>
        </xdr:cNvSpPr>
      </xdr:nvSpPr>
      <xdr:spPr bwMode="auto">
        <a:xfrm>
          <a:off x="3924300"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3" name="TextBox 1472"/>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4" name="TextBox 1473"/>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7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7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8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4" name="TextBox 1483"/>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5" name="TextBox 1484"/>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459</xdr:row>
      <xdr:rowOff>0</xdr:rowOff>
    </xdr:from>
    <xdr:to>
      <xdr:col>4</xdr:col>
      <xdr:colOff>485775</xdr:colOff>
      <xdr:row>460</xdr:row>
      <xdr:rowOff>7936</xdr:rowOff>
    </xdr:to>
    <xdr:sp macro="" textlink="">
      <xdr:nvSpPr>
        <xdr:cNvPr id="1486" name="TextBox 1"/>
        <xdr:cNvSpPr txBox="1">
          <a:spLocks noChangeArrowheads="1"/>
        </xdr:cNvSpPr>
      </xdr:nvSpPr>
      <xdr:spPr bwMode="auto">
        <a:xfrm>
          <a:off x="3314700"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7"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88"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9"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0"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1"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2"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3"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4"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459</xdr:row>
      <xdr:rowOff>0</xdr:rowOff>
    </xdr:from>
    <xdr:to>
      <xdr:col>5</xdr:col>
      <xdr:colOff>144462</xdr:colOff>
      <xdr:row>459</xdr:row>
      <xdr:rowOff>63500</xdr:rowOff>
    </xdr:to>
    <xdr:sp macro="" textlink="">
      <xdr:nvSpPr>
        <xdr:cNvPr id="1495" name="TextBox 1494"/>
        <xdr:cNvSpPr txBox="1">
          <a:spLocks noChangeArrowheads="1"/>
        </xdr:cNvSpPr>
      </xdr:nvSpPr>
      <xdr:spPr bwMode="auto">
        <a:xfrm>
          <a:off x="3536950" y="1843373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6"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7"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8"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9"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0"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1"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2"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3"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4"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5" name="TextBox 1504"/>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6"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7"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8" name="TextBox 1507"/>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9"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10" name="TextBox 1509"/>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11" name="TextBox 1510"/>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12" name="TextBox 151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1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461</xdr:row>
      <xdr:rowOff>5097</xdr:rowOff>
    </xdr:to>
    <xdr:sp macro="" textlink="">
      <xdr:nvSpPr>
        <xdr:cNvPr id="1521" name="TextBox 1520"/>
        <xdr:cNvSpPr txBox="1">
          <a:spLocks noChangeArrowheads="1"/>
        </xdr:cNvSpPr>
      </xdr:nvSpPr>
      <xdr:spPr bwMode="auto">
        <a:xfrm>
          <a:off x="3362325" y="184337325"/>
          <a:ext cx="190500" cy="328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2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0"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1"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2"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3"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4"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5"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6" name="TextBox 1535"/>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1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1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2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2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459</xdr:row>
      <xdr:rowOff>0</xdr:rowOff>
    </xdr:from>
    <xdr:to>
      <xdr:col>5</xdr:col>
      <xdr:colOff>342900</xdr:colOff>
      <xdr:row>460</xdr:row>
      <xdr:rowOff>3174</xdr:rowOff>
    </xdr:to>
    <xdr:sp macro="" textlink="">
      <xdr:nvSpPr>
        <xdr:cNvPr id="1661" name="TextBox 1"/>
        <xdr:cNvSpPr txBox="1">
          <a:spLocks noChangeArrowheads="1"/>
        </xdr:cNvSpPr>
      </xdr:nvSpPr>
      <xdr:spPr bwMode="auto">
        <a:xfrm>
          <a:off x="3733800"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459</xdr:row>
      <xdr:rowOff>0</xdr:rowOff>
    </xdr:from>
    <xdr:to>
      <xdr:col>5</xdr:col>
      <xdr:colOff>334962</xdr:colOff>
      <xdr:row>460</xdr:row>
      <xdr:rowOff>3174</xdr:rowOff>
    </xdr:to>
    <xdr:sp macro="" textlink="">
      <xdr:nvSpPr>
        <xdr:cNvPr id="1662" name="TextBox 1"/>
        <xdr:cNvSpPr txBox="1">
          <a:spLocks noChangeArrowheads="1"/>
        </xdr:cNvSpPr>
      </xdr:nvSpPr>
      <xdr:spPr bwMode="auto">
        <a:xfrm>
          <a:off x="3725862"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459</xdr:row>
      <xdr:rowOff>0</xdr:rowOff>
    </xdr:from>
    <xdr:to>
      <xdr:col>5</xdr:col>
      <xdr:colOff>422274</xdr:colOff>
      <xdr:row>459</xdr:row>
      <xdr:rowOff>111125</xdr:rowOff>
    </xdr:to>
    <xdr:sp macro="" textlink="">
      <xdr:nvSpPr>
        <xdr:cNvPr id="1663" name="TextBox 1"/>
        <xdr:cNvSpPr txBox="1">
          <a:spLocks noChangeArrowheads="1"/>
        </xdr:cNvSpPr>
      </xdr:nvSpPr>
      <xdr:spPr bwMode="auto">
        <a:xfrm>
          <a:off x="3813174" y="18433732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459</xdr:row>
      <xdr:rowOff>0</xdr:rowOff>
    </xdr:from>
    <xdr:to>
      <xdr:col>4</xdr:col>
      <xdr:colOff>501650</xdr:colOff>
      <xdr:row>459</xdr:row>
      <xdr:rowOff>4761</xdr:rowOff>
    </xdr:to>
    <xdr:sp macro="" textlink="">
      <xdr:nvSpPr>
        <xdr:cNvPr id="1664" name="TextBox 1"/>
        <xdr:cNvSpPr txBox="1">
          <a:spLocks noChangeArrowheads="1"/>
        </xdr:cNvSpPr>
      </xdr:nvSpPr>
      <xdr:spPr bwMode="auto">
        <a:xfrm>
          <a:off x="3330575" y="18433732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9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9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4761</xdr:rowOff>
    </xdr:to>
    <xdr:sp macro="" textlink="">
      <xdr:nvSpPr>
        <xdr:cNvPr id="1692" name="TextBox 1691"/>
        <xdr:cNvSpPr txBox="1">
          <a:spLocks noChangeArrowheads="1"/>
        </xdr:cNvSpPr>
      </xdr:nvSpPr>
      <xdr:spPr bwMode="auto">
        <a:xfrm>
          <a:off x="3362325" y="1843373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3"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4761</xdr:rowOff>
    </xdr:to>
    <xdr:sp macro="" textlink="">
      <xdr:nvSpPr>
        <xdr:cNvPr id="1694" name="TextBox 1"/>
        <xdr:cNvSpPr txBox="1">
          <a:spLocks noChangeArrowheads="1"/>
        </xdr:cNvSpPr>
      </xdr:nvSpPr>
      <xdr:spPr bwMode="auto">
        <a:xfrm>
          <a:off x="3362325" y="1843373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5"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6"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7"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8"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9"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700"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459</xdr:row>
      <xdr:rowOff>0</xdr:rowOff>
    </xdr:from>
    <xdr:to>
      <xdr:col>5</xdr:col>
      <xdr:colOff>295274</xdr:colOff>
      <xdr:row>460</xdr:row>
      <xdr:rowOff>4762</xdr:rowOff>
    </xdr:to>
    <xdr:sp macro="" textlink="">
      <xdr:nvSpPr>
        <xdr:cNvPr id="1701" name="TextBox 1700"/>
        <xdr:cNvSpPr txBox="1">
          <a:spLocks noChangeArrowheads="1"/>
        </xdr:cNvSpPr>
      </xdr:nvSpPr>
      <xdr:spPr bwMode="auto">
        <a:xfrm>
          <a:off x="3686174"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2"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459</xdr:row>
      <xdr:rowOff>0</xdr:rowOff>
    </xdr:from>
    <xdr:to>
      <xdr:col>7</xdr:col>
      <xdr:colOff>263525</xdr:colOff>
      <xdr:row>460</xdr:row>
      <xdr:rowOff>4762</xdr:rowOff>
    </xdr:to>
    <xdr:sp macro="" textlink="">
      <xdr:nvSpPr>
        <xdr:cNvPr id="1703" name="TextBox 1"/>
        <xdr:cNvSpPr txBox="1">
          <a:spLocks noChangeArrowheads="1"/>
        </xdr:cNvSpPr>
      </xdr:nvSpPr>
      <xdr:spPr bwMode="auto">
        <a:xfrm>
          <a:off x="53308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4"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5"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6"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7"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8"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122739</xdr:colOff>
      <xdr:row>459</xdr:row>
      <xdr:rowOff>0</xdr:rowOff>
    </xdr:from>
    <xdr:to>
      <xdr:col>7</xdr:col>
      <xdr:colOff>313239</xdr:colOff>
      <xdr:row>459</xdr:row>
      <xdr:rowOff>133350</xdr:rowOff>
    </xdr:to>
    <xdr:sp macro="" textlink="">
      <xdr:nvSpPr>
        <xdr:cNvPr id="1709" name="TextBox 1"/>
        <xdr:cNvSpPr txBox="1">
          <a:spLocks noChangeArrowheads="1"/>
        </xdr:cNvSpPr>
      </xdr:nvSpPr>
      <xdr:spPr bwMode="auto">
        <a:xfrm>
          <a:off x="5380539"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0" name="TextBox 1709"/>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9" name="TextBox 1718"/>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8" name="TextBox 1727"/>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7" name="TextBox 1736"/>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4762</xdr:rowOff>
    </xdr:to>
    <xdr:sp macro="" textlink="">
      <xdr:nvSpPr>
        <xdr:cNvPr id="1741" name="TextBox 1"/>
        <xdr:cNvSpPr txBox="1">
          <a:spLocks noChangeArrowheads="1"/>
        </xdr:cNvSpPr>
      </xdr:nvSpPr>
      <xdr:spPr bwMode="auto">
        <a:xfrm>
          <a:off x="33623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4762</xdr:rowOff>
    </xdr:to>
    <xdr:sp macro="" textlink="">
      <xdr:nvSpPr>
        <xdr:cNvPr id="1744" name="TextBox 1"/>
        <xdr:cNvSpPr txBox="1">
          <a:spLocks noChangeArrowheads="1"/>
        </xdr:cNvSpPr>
      </xdr:nvSpPr>
      <xdr:spPr bwMode="auto">
        <a:xfrm>
          <a:off x="33623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482</xdr:row>
      <xdr:rowOff>0</xdr:rowOff>
    </xdr:from>
    <xdr:ext cx="190500" cy="257175"/>
    <xdr:sp macro="" textlink="">
      <xdr:nvSpPr>
        <xdr:cNvPr id="174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9"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0"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1"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2"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3"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4"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87420"/>
    <xdr:sp macro="" textlink="">
      <xdr:nvSpPr>
        <xdr:cNvPr id="1757" name="TextBox 1"/>
        <xdr:cNvSpPr txBox="1">
          <a:spLocks noChangeArrowheads="1"/>
        </xdr:cNvSpPr>
      </xdr:nvSpPr>
      <xdr:spPr bwMode="auto">
        <a:xfrm>
          <a:off x="3362325" y="193986150"/>
          <a:ext cx="190500" cy="28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5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5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3" name="TextBox 1762"/>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6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7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6" name="TextBox 1775"/>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8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8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9" name="TextBox 1788"/>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9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9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2" name="TextBox 180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0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0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5" name="TextBox 1814"/>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1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2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8" name="TextBox 1827"/>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3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3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3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3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1" name="TextBox 1840"/>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4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4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4" name="TextBox 1853"/>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5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6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7" name="TextBox 1866"/>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7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7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7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7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0" name="TextBox 1879"/>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8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8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3" name="TextBox 1892"/>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9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0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6" name="TextBox 1905"/>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1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1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9" name="TextBox 1918"/>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2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2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2" name="TextBox 193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3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3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5" name="TextBox 1944"/>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4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5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8" name="TextBox 1957"/>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6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6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6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6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1" name="TextBox 1970"/>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7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7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4" name="TextBox 1983"/>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8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9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7" name="TextBox 1996"/>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0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0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0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0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0" name="TextBox 2009"/>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1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1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342900</xdr:colOff>
      <xdr:row>61</xdr:row>
      <xdr:rowOff>0</xdr:rowOff>
    </xdr:from>
    <xdr:to>
      <xdr:col>4</xdr:col>
      <xdr:colOff>533400</xdr:colOff>
      <xdr:row>61</xdr:row>
      <xdr:rowOff>254000</xdr:rowOff>
    </xdr:to>
    <xdr:sp macro="" textlink="">
      <xdr:nvSpPr>
        <xdr:cNvPr id="2"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3" name="TextBox 2"/>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61</xdr:row>
      <xdr:rowOff>0</xdr:rowOff>
    </xdr:from>
    <xdr:to>
      <xdr:col>4</xdr:col>
      <xdr:colOff>485775</xdr:colOff>
      <xdr:row>61</xdr:row>
      <xdr:rowOff>254000</xdr:rowOff>
    </xdr:to>
    <xdr:sp macro="" textlink="">
      <xdr:nvSpPr>
        <xdr:cNvPr id="4" name="TextBox 1"/>
        <xdr:cNvSpPr txBox="1">
          <a:spLocks noChangeArrowheads="1"/>
        </xdr:cNvSpPr>
      </xdr:nvSpPr>
      <xdr:spPr bwMode="auto">
        <a:xfrm>
          <a:off x="3314700"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5"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6"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7"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8"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9"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10"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62</xdr:row>
      <xdr:rowOff>0</xdr:rowOff>
    </xdr:from>
    <xdr:to>
      <xdr:col>4</xdr:col>
      <xdr:colOff>533400</xdr:colOff>
      <xdr:row>63</xdr:row>
      <xdr:rowOff>95250</xdr:rowOff>
    </xdr:to>
    <xdr:sp macro="" textlink="">
      <xdr:nvSpPr>
        <xdr:cNvPr id="11" name="TextBox 1"/>
        <xdr:cNvSpPr txBox="1">
          <a:spLocks noChangeArrowheads="1"/>
        </xdr:cNvSpPr>
      </xdr:nvSpPr>
      <xdr:spPr bwMode="auto">
        <a:xfrm>
          <a:off x="3362325" y="122396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62</xdr:row>
      <xdr:rowOff>0</xdr:rowOff>
    </xdr:from>
    <xdr:to>
      <xdr:col>4</xdr:col>
      <xdr:colOff>533400</xdr:colOff>
      <xdr:row>63</xdr:row>
      <xdr:rowOff>95250</xdr:rowOff>
    </xdr:to>
    <xdr:sp macro="" textlink="">
      <xdr:nvSpPr>
        <xdr:cNvPr id="12" name="TextBox 1"/>
        <xdr:cNvSpPr txBox="1">
          <a:spLocks noChangeArrowheads="1"/>
        </xdr:cNvSpPr>
      </xdr:nvSpPr>
      <xdr:spPr bwMode="auto">
        <a:xfrm>
          <a:off x="3362325" y="122396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61</xdr:row>
      <xdr:rowOff>0</xdr:rowOff>
    </xdr:from>
    <xdr:to>
      <xdr:col>5</xdr:col>
      <xdr:colOff>137135</xdr:colOff>
      <xdr:row>61</xdr:row>
      <xdr:rowOff>63500</xdr:rowOff>
    </xdr:to>
    <xdr:sp macro="" textlink="">
      <xdr:nvSpPr>
        <xdr:cNvPr id="13" name="TextBox 12"/>
        <xdr:cNvSpPr txBox="1">
          <a:spLocks noChangeArrowheads="1"/>
        </xdr:cNvSpPr>
      </xdr:nvSpPr>
      <xdr:spPr bwMode="auto">
        <a:xfrm>
          <a:off x="3536950" y="100679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4"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15"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6"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7"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8"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19"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20"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21"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2"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3" name="TextBox 22"/>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4"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5"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131</xdr:row>
      <xdr:rowOff>3174</xdr:rowOff>
    </xdr:to>
    <xdr:sp macro="" textlink="">
      <xdr:nvSpPr>
        <xdr:cNvPr id="26" name="TextBox 25"/>
        <xdr:cNvSpPr txBox="1">
          <a:spLocks noChangeArrowheads="1"/>
        </xdr:cNvSpPr>
      </xdr:nvSpPr>
      <xdr:spPr bwMode="auto">
        <a:xfrm>
          <a:off x="3362325" y="337947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131</xdr:row>
      <xdr:rowOff>3174</xdr:rowOff>
    </xdr:to>
    <xdr:sp macro="" textlink="">
      <xdr:nvSpPr>
        <xdr:cNvPr id="27" name="TextBox 1"/>
        <xdr:cNvSpPr txBox="1">
          <a:spLocks noChangeArrowheads="1"/>
        </xdr:cNvSpPr>
      </xdr:nvSpPr>
      <xdr:spPr bwMode="auto">
        <a:xfrm>
          <a:off x="3362325" y="337947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130</xdr:row>
      <xdr:rowOff>161192</xdr:rowOff>
    </xdr:to>
    <xdr:sp macro="" textlink="">
      <xdr:nvSpPr>
        <xdr:cNvPr id="28" name="TextBox 27"/>
        <xdr:cNvSpPr txBox="1">
          <a:spLocks noChangeArrowheads="1"/>
        </xdr:cNvSpPr>
      </xdr:nvSpPr>
      <xdr:spPr bwMode="auto">
        <a:xfrm>
          <a:off x="3362325" y="337947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130</xdr:row>
      <xdr:rowOff>161192</xdr:rowOff>
    </xdr:to>
    <xdr:sp macro="" textlink="">
      <xdr:nvSpPr>
        <xdr:cNvPr id="29" name="TextBox 28"/>
        <xdr:cNvSpPr txBox="1">
          <a:spLocks noChangeArrowheads="1"/>
        </xdr:cNvSpPr>
      </xdr:nvSpPr>
      <xdr:spPr bwMode="auto">
        <a:xfrm>
          <a:off x="3362325" y="337947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73</xdr:row>
      <xdr:rowOff>0</xdr:rowOff>
    </xdr:from>
    <xdr:to>
      <xdr:col>4</xdr:col>
      <xdr:colOff>533400</xdr:colOff>
      <xdr:row>73</xdr:row>
      <xdr:rowOff>254000</xdr:rowOff>
    </xdr:to>
    <xdr:sp macro="" textlink="">
      <xdr:nvSpPr>
        <xdr:cNvPr id="30" name="TextBox 1"/>
        <xdr:cNvSpPr txBox="1">
          <a:spLocks noChangeArrowheads="1"/>
        </xdr:cNvSpPr>
      </xdr:nvSpPr>
      <xdr:spPr bwMode="auto">
        <a:xfrm>
          <a:off x="3362325" y="1677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20R%20I%20P%20R%20E%20M%20A%20-%20STARE%20STVARI\P%20R%20I%20P%20R%20E%20M%20A\ponude\&#352;PI&#352;I&#262;%20BUKOVICA-DVOR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s>
    <sheetDataSet>
      <sheetData sheetId="0"/>
      <sheetData sheetId="1">
        <row r="22">
          <cell r="F22">
            <v>371.45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I411"/>
  <sheetViews>
    <sheetView showZeros="0" view="pageBreakPreview" topLeftCell="A31" zoomScale="115" zoomScaleNormal="100" zoomScaleSheetLayoutView="115" workbookViewId="0">
      <selection activeCell="D59" sqref="D59:H59"/>
    </sheetView>
  </sheetViews>
  <sheetFormatPr defaultColWidth="2.42578125" defaultRowHeight="12.75"/>
  <cols>
    <col min="1" max="1" width="2.28515625" style="13" bestFit="1" customWidth="1"/>
    <col min="2" max="2" width="2" style="13" bestFit="1" customWidth="1"/>
    <col min="3" max="3" width="3.5703125" style="63" customWidth="1"/>
    <col min="4" max="4" width="47.7109375" style="64" customWidth="1"/>
    <col min="5" max="5" width="9.7109375" style="38" customWidth="1"/>
    <col min="6" max="6" width="9.7109375" style="39" customWidth="1"/>
    <col min="7" max="7" width="9.7109375" style="40" customWidth="1"/>
    <col min="8" max="8" width="13.7109375" style="41" customWidth="1"/>
    <col min="9" max="9" width="9.7109375" style="42" customWidth="1"/>
    <col min="10" max="19" width="9.140625" style="15" customWidth="1"/>
    <col min="20" max="16384" width="2.42578125" style="15"/>
  </cols>
  <sheetData>
    <row r="1" spans="1:9" ht="26.45" customHeight="1">
      <c r="C1" s="14"/>
      <c r="D1" s="245" t="s">
        <v>32</v>
      </c>
      <c r="E1" s="1257" t="s">
        <v>461</v>
      </c>
      <c r="F1" s="1257"/>
      <c r="G1" s="244" t="s">
        <v>29</v>
      </c>
      <c r="H1" s="246" t="s">
        <v>1006</v>
      </c>
    </row>
    <row r="2" spans="1:9" ht="27.6" customHeight="1">
      <c r="C2" s="14"/>
      <c r="D2" s="245" t="s">
        <v>33</v>
      </c>
      <c r="E2" s="1257" t="s">
        <v>430</v>
      </c>
      <c r="F2" s="1258"/>
      <c r="G2" s="244" t="s">
        <v>30</v>
      </c>
      <c r="H2" s="246" t="s">
        <v>1005</v>
      </c>
    </row>
    <row r="3" spans="1:9" ht="14.1" customHeight="1">
      <c r="C3" s="14"/>
      <c r="D3" s="245" t="s">
        <v>34</v>
      </c>
      <c r="E3" s="1258" t="s">
        <v>1004</v>
      </c>
      <c r="F3" s="1258"/>
      <c r="G3" s="244" t="s">
        <v>31</v>
      </c>
      <c r="H3" s="246" t="s">
        <v>993</v>
      </c>
    </row>
    <row r="4" spans="1:9" ht="14.1" customHeight="1">
      <c r="C4" s="16"/>
      <c r="D4" s="17"/>
      <c r="E4" s="4"/>
      <c r="F4" s="4"/>
      <c r="G4" s="4"/>
      <c r="H4" s="6"/>
      <c r="I4" s="1"/>
    </row>
    <row r="5" spans="1:9" s="20" customFormat="1" ht="15">
      <c r="A5" s="18"/>
      <c r="B5" s="19"/>
      <c r="C5" s="7"/>
      <c r="D5" s="8"/>
      <c r="E5" s="9"/>
      <c r="F5" s="10"/>
      <c r="G5" s="11"/>
      <c r="H5" s="11"/>
      <c r="I5" s="12"/>
    </row>
    <row r="6" spans="1:9" s="80" customFormat="1" ht="15.95" customHeight="1">
      <c r="A6" s="76"/>
      <c r="B6" s="76"/>
      <c r="C6" s="91"/>
      <c r="D6" s="92" t="s">
        <v>35</v>
      </c>
      <c r="E6" s="93"/>
      <c r="F6" s="94"/>
      <c r="G6" s="94"/>
      <c r="H6" s="93"/>
      <c r="I6" s="111"/>
    </row>
    <row r="7" spans="1:9" s="83" customFormat="1" ht="15.95" customHeight="1">
      <c r="A7" s="81"/>
      <c r="B7" s="81"/>
      <c r="C7" s="95"/>
      <c r="D7" s="243" t="s">
        <v>432</v>
      </c>
      <c r="E7" s="97"/>
      <c r="F7" s="98"/>
      <c r="G7" s="98"/>
      <c r="H7" s="97"/>
      <c r="I7" s="111"/>
    </row>
    <row r="8" spans="1:9" s="83" customFormat="1" ht="15.95" customHeight="1">
      <c r="A8" s="81"/>
      <c r="B8" s="81"/>
      <c r="C8" s="82"/>
      <c r="D8" s="84"/>
      <c r="E8" s="78"/>
      <c r="F8" s="79"/>
      <c r="G8" s="79"/>
      <c r="H8" s="78"/>
      <c r="I8" s="111"/>
    </row>
    <row r="9" spans="1:9" s="85" customFormat="1" ht="15.95" customHeight="1">
      <c r="A9" s="81"/>
      <c r="B9" s="81"/>
      <c r="C9" s="99"/>
      <c r="D9" s="110" t="s">
        <v>6</v>
      </c>
      <c r="E9" s="110"/>
      <c r="F9" s="94"/>
      <c r="G9" s="94"/>
      <c r="H9" s="93"/>
      <c r="I9" s="111"/>
    </row>
    <row r="10" spans="1:9" s="85" customFormat="1" ht="15.95" customHeight="1">
      <c r="A10" s="81"/>
      <c r="B10" s="81"/>
      <c r="C10" s="100"/>
      <c r="D10" s="96" t="s">
        <v>431</v>
      </c>
      <c r="E10" s="101"/>
      <c r="F10" s="98"/>
      <c r="G10" s="98"/>
      <c r="H10" s="97"/>
      <c r="I10" s="111"/>
    </row>
    <row r="11" spans="1:9" s="85" customFormat="1" ht="15.95" customHeight="1">
      <c r="A11" s="81"/>
      <c r="B11" s="81"/>
      <c r="C11" s="87"/>
      <c r="D11" s="84"/>
      <c r="E11" s="86"/>
      <c r="F11" s="79"/>
      <c r="G11" s="79"/>
      <c r="H11" s="78"/>
      <c r="I11" s="111"/>
    </row>
    <row r="12" spans="1:9" s="89" customFormat="1" ht="15.95" customHeight="1">
      <c r="A12" s="81"/>
      <c r="B12" s="81"/>
      <c r="C12" s="102"/>
      <c r="D12" s="110" t="s">
        <v>7</v>
      </c>
      <c r="E12" s="110"/>
      <c r="F12" s="103"/>
      <c r="G12" s="93"/>
      <c r="H12" s="93"/>
      <c r="I12" s="111"/>
    </row>
    <row r="13" spans="1:9" s="89" customFormat="1" ht="15.95" customHeight="1">
      <c r="A13" s="81"/>
      <c r="B13" s="81"/>
      <c r="C13" s="104"/>
      <c r="D13" s="243" t="s">
        <v>1007</v>
      </c>
      <c r="E13" s="105"/>
      <c r="F13" s="106"/>
      <c r="G13" s="97"/>
      <c r="H13" s="97"/>
      <c r="I13" s="111"/>
    </row>
    <row r="14" spans="1:9" s="89" customFormat="1" ht="15.95" customHeight="1">
      <c r="A14" s="81"/>
      <c r="B14" s="81"/>
      <c r="C14" s="87"/>
      <c r="D14" s="77"/>
      <c r="E14" s="90"/>
      <c r="F14" s="88"/>
      <c r="G14" s="78"/>
      <c r="H14" s="78"/>
      <c r="I14" s="111"/>
    </row>
    <row r="15" spans="1:9" s="89" customFormat="1" ht="15.95" customHeight="1">
      <c r="A15" s="81"/>
      <c r="B15" s="81"/>
      <c r="C15" s="107"/>
      <c r="D15" s="110" t="s">
        <v>1</v>
      </c>
      <c r="E15" s="110"/>
      <c r="F15" s="103"/>
      <c r="G15" s="93"/>
      <c r="H15" s="93"/>
      <c r="I15" s="111"/>
    </row>
    <row r="16" spans="1:9" s="89" customFormat="1" ht="15.95" customHeight="1">
      <c r="A16" s="81"/>
      <c r="B16" s="81"/>
      <c r="C16" s="104"/>
      <c r="D16" s="243" t="s">
        <v>1008</v>
      </c>
      <c r="E16" s="105"/>
      <c r="F16" s="106"/>
      <c r="G16" s="97"/>
      <c r="H16" s="97"/>
      <c r="I16" s="111"/>
    </row>
    <row r="17" spans="1:9" s="53" customFormat="1">
      <c r="A17" s="13"/>
      <c r="B17" s="13"/>
      <c r="C17" s="54"/>
      <c r="D17" s="69"/>
      <c r="E17" s="70"/>
      <c r="F17" s="71"/>
      <c r="G17" s="68"/>
      <c r="H17" s="68"/>
      <c r="I17" s="14"/>
    </row>
    <row r="18" spans="1:9" s="53" customFormat="1">
      <c r="A18" s="13"/>
      <c r="B18" s="13"/>
      <c r="C18" s="54"/>
      <c r="D18" s="69"/>
      <c r="E18" s="70"/>
      <c r="F18" s="71"/>
      <c r="G18" s="68"/>
      <c r="H18" s="68"/>
      <c r="I18" s="14"/>
    </row>
    <row r="19" spans="1:9" s="53" customFormat="1">
      <c r="A19" s="13"/>
      <c r="B19" s="13"/>
      <c r="C19" s="54"/>
      <c r="D19" s="69"/>
      <c r="E19" s="70"/>
      <c r="F19" s="71"/>
      <c r="G19" s="68"/>
      <c r="H19" s="68"/>
      <c r="I19" s="14"/>
    </row>
    <row r="20" spans="1:9" s="53" customFormat="1">
      <c r="A20" s="13"/>
      <c r="B20" s="13"/>
      <c r="C20" s="54"/>
      <c r="D20" s="1259" t="s">
        <v>433</v>
      </c>
      <c r="E20" s="1259"/>
      <c r="F20" s="1259"/>
      <c r="G20" s="1259"/>
      <c r="H20" s="68"/>
      <c r="I20" s="14"/>
    </row>
    <row r="21" spans="1:9" s="53" customFormat="1">
      <c r="A21" s="13"/>
      <c r="B21" s="13"/>
      <c r="C21" s="54"/>
      <c r="D21" s="1259"/>
      <c r="E21" s="1259"/>
      <c r="F21" s="1259"/>
      <c r="G21" s="1259"/>
      <c r="H21" s="68"/>
      <c r="I21" s="14"/>
    </row>
    <row r="22" spans="1:9" s="53" customFormat="1">
      <c r="A22" s="13"/>
      <c r="B22" s="13"/>
      <c r="C22" s="54"/>
      <c r="D22" s="1259"/>
      <c r="E22" s="1259"/>
      <c r="F22" s="1259"/>
      <c r="G22" s="1259"/>
      <c r="H22" s="68"/>
      <c r="I22" s="14"/>
    </row>
    <row r="23" spans="1:9" s="53" customFormat="1">
      <c r="A23" s="13"/>
      <c r="B23" s="13"/>
      <c r="C23" s="54"/>
      <c r="D23" s="1259"/>
      <c r="E23" s="1259"/>
      <c r="F23" s="1259"/>
      <c r="G23" s="1259"/>
      <c r="H23" s="68"/>
      <c r="I23" s="14"/>
    </row>
    <row r="24" spans="1:9" s="53" customFormat="1">
      <c r="A24" s="13"/>
      <c r="B24" s="13"/>
      <c r="C24" s="54"/>
      <c r="D24" s="69"/>
      <c r="E24" s="70"/>
      <c r="F24" s="71"/>
      <c r="G24" s="68"/>
      <c r="H24" s="68"/>
      <c r="I24" s="14"/>
    </row>
    <row r="25" spans="1:9" s="53" customFormat="1">
      <c r="A25" s="13"/>
      <c r="B25" s="13"/>
      <c r="C25" s="54"/>
      <c r="D25" s="709"/>
      <c r="E25" s="70"/>
      <c r="F25" s="71"/>
      <c r="G25" s="68"/>
      <c r="H25" s="68"/>
      <c r="I25" s="14"/>
    </row>
    <row r="26" spans="1:9" s="53" customFormat="1">
      <c r="A26" s="13"/>
      <c r="B26" s="13"/>
      <c r="C26" s="54"/>
      <c r="D26" s="709"/>
      <c r="E26" s="70"/>
      <c r="F26" s="71"/>
      <c r="G26" s="68"/>
      <c r="H26" s="68"/>
      <c r="I26" s="14"/>
    </row>
    <row r="27" spans="1:9" s="53" customFormat="1">
      <c r="A27" s="13"/>
      <c r="B27" s="13"/>
      <c r="C27" s="54"/>
      <c r="D27" s="709"/>
      <c r="E27" s="70"/>
      <c r="F27" s="71"/>
      <c r="G27" s="68"/>
      <c r="H27" s="68"/>
      <c r="I27" s="14"/>
    </row>
    <row r="28" spans="1:9" s="53" customFormat="1">
      <c r="A28" s="13"/>
      <c r="B28" s="13"/>
      <c r="C28" s="54"/>
      <c r="D28" s="256"/>
      <c r="E28" s="70"/>
      <c r="F28" s="71"/>
      <c r="G28" s="68"/>
      <c r="H28" s="68"/>
      <c r="I28" s="14"/>
    </row>
    <row r="29" spans="1:9" s="53" customFormat="1">
      <c r="A29" s="13"/>
      <c r="B29" s="13"/>
      <c r="C29" s="54"/>
      <c r="D29" s="709"/>
      <c r="E29" s="70"/>
      <c r="F29" s="71"/>
      <c r="G29" s="68"/>
      <c r="H29" s="68"/>
      <c r="I29" s="14"/>
    </row>
    <row r="30" spans="1:9" s="53" customFormat="1">
      <c r="A30" s="13"/>
      <c r="B30" s="13"/>
      <c r="C30" s="54"/>
      <c r="D30" s="709"/>
      <c r="E30" s="70"/>
      <c r="F30" s="71"/>
      <c r="G30" s="68"/>
      <c r="H30" s="68"/>
      <c r="I30" s="14"/>
    </row>
    <row r="31" spans="1:9" s="53" customFormat="1">
      <c r="A31" s="13"/>
      <c r="B31" s="13"/>
      <c r="C31" s="54"/>
      <c r="D31" s="709"/>
      <c r="E31" s="70"/>
      <c r="F31" s="71"/>
      <c r="G31" s="68"/>
      <c r="H31" s="68"/>
      <c r="I31" s="14"/>
    </row>
    <row r="32" spans="1:9" s="53" customFormat="1">
      <c r="A32" s="13"/>
      <c r="B32" s="13"/>
      <c r="C32" s="54"/>
      <c r="D32" s="69"/>
      <c r="E32" s="70"/>
      <c r="F32" s="71"/>
      <c r="G32" s="68"/>
      <c r="H32" s="68"/>
      <c r="I32" s="14"/>
    </row>
    <row r="33" spans="1:9" s="53" customFormat="1">
      <c r="A33" s="13"/>
      <c r="B33" s="13"/>
      <c r="C33" s="54"/>
      <c r="D33" s="69"/>
      <c r="E33" s="70"/>
      <c r="F33" s="71"/>
      <c r="G33" s="68"/>
      <c r="H33" s="68"/>
      <c r="I33" s="14"/>
    </row>
    <row r="34" spans="1:9" s="53" customFormat="1">
      <c r="A34" s="13"/>
      <c r="B34" s="13"/>
      <c r="C34" s="54"/>
      <c r="D34" s="69"/>
      <c r="E34" s="70"/>
      <c r="F34" s="71"/>
      <c r="G34" s="68"/>
      <c r="H34" s="68"/>
      <c r="I34" s="14"/>
    </row>
    <row r="35" spans="1:9" s="53" customFormat="1">
      <c r="A35" s="13"/>
      <c r="B35" s="13"/>
      <c r="C35" s="54"/>
      <c r="D35" s="69"/>
      <c r="E35" s="70"/>
      <c r="F35" s="71"/>
      <c r="G35" s="68"/>
      <c r="H35" s="68"/>
      <c r="I35" s="14"/>
    </row>
    <row r="36" spans="1:9" s="53" customFormat="1">
      <c r="A36" s="13"/>
      <c r="B36" s="13"/>
      <c r="C36" s="54"/>
      <c r="D36" s="69"/>
      <c r="E36" s="70"/>
      <c r="F36" s="71"/>
      <c r="G36" s="68"/>
      <c r="H36" s="68"/>
      <c r="I36" s="14"/>
    </row>
    <row r="37" spans="1:9" s="53" customFormat="1">
      <c r="A37" s="13"/>
      <c r="B37" s="13"/>
      <c r="C37" s="54"/>
      <c r="D37" s="69"/>
      <c r="E37" s="70"/>
      <c r="F37" s="71"/>
      <c r="G37" s="68"/>
      <c r="H37" s="68"/>
      <c r="I37" s="14"/>
    </row>
    <row r="38" spans="1:9" s="53" customFormat="1">
      <c r="A38" s="13"/>
      <c r="B38" s="13"/>
      <c r="C38" s="54"/>
      <c r="D38" s="69"/>
      <c r="E38" s="70"/>
      <c r="F38" s="71"/>
      <c r="G38" s="68"/>
      <c r="H38" s="68"/>
      <c r="I38" s="14"/>
    </row>
    <row r="39" spans="1:9" s="53" customFormat="1">
      <c r="A39" s="13"/>
      <c r="B39" s="13"/>
      <c r="C39" s="54"/>
      <c r="D39" s="69"/>
      <c r="E39" s="70"/>
      <c r="F39" s="71"/>
      <c r="G39" s="68"/>
      <c r="H39" s="68"/>
      <c r="I39" s="14"/>
    </row>
    <row r="40" spans="1:9" s="53" customFormat="1">
      <c r="A40" s="13"/>
      <c r="B40" s="13"/>
      <c r="C40" s="54"/>
      <c r="D40" s="69"/>
      <c r="E40" s="70"/>
      <c r="F40" s="71"/>
      <c r="G40" s="68"/>
      <c r="H40" s="68"/>
      <c r="I40" s="14"/>
    </row>
    <row r="41" spans="1:9" s="53" customFormat="1">
      <c r="A41" s="13"/>
      <c r="B41" s="13"/>
      <c r="C41" s="54"/>
      <c r="D41" s="69"/>
      <c r="E41" s="70"/>
      <c r="F41" s="71"/>
      <c r="G41" s="68"/>
      <c r="H41" s="68"/>
      <c r="I41" s="14"/>
    </row>
    <row r="42" spans="1:9" s="53" customFormat="1">
      <c r="A42" s="13"/>
      <c r="B42" s="13"/>
      <c r="C42" s="54"/>
      <c r="D42" s="69"/>
      <c r="E42" s="70"/>
      <c r="F42" s="71"/>
      <c r="G42" s="68"/>
      <c r="H42" s="68"/>
      <c r="I42" s="14"/>
    </row>
    <row r="43" spans="1:9" s="53" customFormat="1">
      <c r="A43" s="13"/>
      <c r="B43" s="13"/>
      <c r="C43" s="54"/>
      <c r="D43" s="69"/>
      <c r="E43" s="70"/>
      <c r="F43" s="71"/>
      <c r="G43" s="68"/>
      <c r="H43" s="68"/>
      <c r="I43" s="14"/>
    </row>
    <row r="44" spans="1:9" s="53" customFormat="1">
      <c r="A44" s="13"/>
      <c r="B44" s="13"/>
      <c r="C44" s="54"/>
      <c r="D44" s="69"/>
      <c r="E44" s="70"/>
      <c r="F44" s="71"/>
      <c r="G44" s="68"/>
      <c r="H44" s="68"/>
      <c r="I44" s="14"/>
    </row>
    <row r="45" spans="1:9" s="53" customFormat="1">
      <c r="A45" s="13"/>
      <c r="B45" s="13"/>
      <c r="C45" s="54"/>
      <c r="D45" s="69"/>
      <c r="E45" s="70"/>
      <c r="F45" s="71"/>
      <c r="G45" s="68"/>
      <c r="H45" s="68"/>
      <c r="I45" s="14"/>
    </row>
    <row r="46" spans="1:9" s="53" customFormat="1">
      <c r="A46" s="13"/>
      <c r="B46" s="13"/>
      <c r="C46" s="54"/>
      <c r="D46" s="69"/>
      <c r="E46" s="70"/>
      <c r="F46" s="71"/>
      <c r="G46" s="68"/>
      <c r="H46" s="68"/>
      <c r="I46" s="14"/>
    </row>
    <row r="47" spans="1:9" s="53" customFormat="1">
      <c r="A47" s="13"/>
      <c r="B47" s="13"/>
      <c r="C47" s="54"/>
      <c r="D47" s="69"/>
      <c r="E47" s="70"/>
      <c r="F47" s="71"/>
      <c r="G47" s="68"/>
      <c r="H47" s="68"/>
      <c r="I47" s="14"/>
    </row>
    <row r="48" spans="1:9" s="53" customFormat="1">
      <c r="A48" s="13"/>
      <c r="B48" s="13"/>
      <c r="C48" s="54"/>
      <c r="D48" s="69"/>
      <c r="E48" s="70"/>
      <c r="F48" s="71"/>
      <c r="G48" s="68"/>
      <c r="H48" s="68"/>
      <c r="I48" s="14"/>
    </row>
    <row r="49" spans="1:9" s="53" customFormat="1">
      <c r="A49" s="13"/>
      <c r="B49" s="13"/>
      <c r="C49" s="54"/>
      <c r="D49" s="69"/>
      <c r="E49" s="70"/>
      <c r="F49" s="71"/>
      <c r="G49" s="68"/>
      <c r="H49" s="68"/>
      <c r="I49" s="14"/>
    </row>
    <row r="50" spans="1:9" s="53" customFormat="1">
      <c r="A50" s="13"/>
      <c r="B50" s="13"/>
      <c r="C50" s="54"/>
      <c r="D50" s="69"/>
      <c r="E50" s="70"/>
      <c r="F50" s="71"/>
      <c r="G50" s="68"/>
      <c r="H50" s="68"/>
      <c r="I50" s="14"/>
    </row>
    <row r="51" spans="1:9" s="53" customFormat="1">
      <c r="A51" s="13"/>
      <c r="B51" s="13"/>
      <c r="C51" s="54"/>
      <c r="D51" s="69"/>
      <c r="E51" s="70"/>
      <c r="F51" s="71"/>
      <c r="G51" s="68"/>
      <c r="H51" s="68"/>
      <c r="I51" s="14"/>
    </row>
    <row r="52" spans="1:9" s="53" customFormat="1">
      <c r="A52" s="13"/>
      <c r="B52" s="13"/>
      <c r="C52" s="54"/>
      <c r="D52" s="69"/>
      <c r="E52" s="70"/>
      <c r="F52" s="71"/>
      <c r="G52" s="68"/>
      <c r="H52" s="68"/>
      <c r="I52" s="14"/>
    </row>
    <row r="53" spans="1:9" s="53" customFormat="1">
      <c r="A53" s="13"/>
      <c r="B53" s="13"/>
      <c r="C53" s="54"/>
      <c r="D53" s="69"/>
      <c r="E53" s="70"/>
      <c r="F53" s="71"/>
      <c r="G53" s="68"/>
      <c r="H53" s="68"/>
      <c r="I53" s="14"/>
    </row>
    <row r="54" spans="1:9" s="53" customFormat="1">
      <c r="A54" s="13"/>
      <c r="B54" s="13"/>
      <c r="C54" s="54"/>
      <c r="D54" s="69"/>
      <c r="E54" s="70"/>
      <c r="F54" s="71"/>
      <c r="G54" s="68"/>
      <c r="H54" s="68"/>
      <c r="I54" s="14"/>
    </row>
    <row r="55" spans="1:9" s="53" customFormat="1">
      <c r="A55" s="13"/>
      <c r="B55" s="13"/>
      <c r="C55" s="54"/>
      <c r="D55" s="69"/>
      <c r="E55" s="70"/>
      <c r="F55" s="71"/>
      <c r="G55" s="68"/>
      <c r="H55" s="68"/>
      <c r="I55" s="14"/>
    </row>
    <row r="56" spans="1:9" s="53" customFormat="1">
      <c r="A56" s="13"/>
      <c r="B56" s="13"/>
      <c r="C56" s="54"/>
      <c r="D56" s="69"/>
      <c r="E56" s="70"/>
      <c r="F56" s="71"/>
      <c r="G56" s="68"/>
      <c r="H56" s="68"/>
      <c r="I56" s="14"/>
    </row>
    <row r="57" spans="1:9" s="53" customFormat="1">
      <c r="A57" s="13"/>
      <c r="B57" s="13"/>
      <c r="C57" s="54"/>
      <c r="D57" s="69"/>
      <c r="E57" s="70"/>
      <c r="F57" s="71"/>
      <c r="G57" s="68"/>
      <c r="H57" s="68"/>
      <c r="I57" s="14"/>
    </row>
    <row r="58" spans="1:9" s="53" customFormat="1">
      <c r="A58" s="13"/>
      <c r="B58" s="13"/>
      <c r="C58" s="54"/>
      <c r="D58" s="72" t="s">
        <v>47</v>
      </c>
      <c r="E58" s="73"/>
      <c r="F58" s="74"/>
      <c r="G58" s="75"/>
      <c r="H58" s="75"/>
      <c r="I58" s="14"/>
    </row>
    <row r="59" spans="1:9" s="53" customFormat="1" ht="41.25" customHeight="1">
      <c r="A59" s="13"/>
      <c r="B59" s="13"/>
      <c r="C59" s="54"/>
      <c r="D59" s="1254" t="s">
        <v>112</v>
      </c>
      <c r="E59" s="1254"/>
      <c r="F59" s="1254"/>
      <c r="G59" s="1254"/>
      <c r="H59" s="1254"/>
      <c r="I59" s="14"/>
    </row>
    <row r="60" spans="1:9" s="53" customFormat="1" ht="27" customHeight="1">
      <c r="A60" s="13"/>
      <c r="B60" s="13"/>
      <c r="C60" s="54"/>
      <c r="D60" s="1254" t="s">
        <v>113</v>
      </c>
      <c r="E60" s="1254"/>
      <c r="F60" s="1254"/>
      <c r="G60" s="1254"/>
      <c r="H60" s="1254"/>
      <c r="I60" s="14"/>
    </row>
    <row r="61" spans="1:9" s="53" customFormat="1" ht="42" customHeight="1">
      <c r="A61" s="13"/>
      <c r="B61" s="13"/>
      <c r="C61" s="54"/>
      <c r="D61" s="1254" t="s">
        <v>100</v>
      </c>
      <c r="E61" s="1254"/>
      <c r="F61" s="1254"/>
      <c r="G61" s="1254"/>
      <c r="H61" s="1254"/>
      <c r="I61" s="14"/>
    </row>
    <row r="62" spans="1:9" s="53" customFormat="1" ht="39.75" customHeight="1">
      <c r="A62" s="13"/>
      <c r="B62" s="13"/>
      <c r="C62" s="54"/>
      <c r="D62" s="1254" t="s">
        <v>101</v>
      </c>
      <c r="E62" s="1254"/>
      <c r="F62" s="1254"/>
      <c r="G62" s="1254"/>
      <c r="H62" s="1254"/>
      <c r="I62" s="14"/>
    </row>
    <row r="63" spans="1:9" s="53" customFormat="1" ht="40.9" customHeight="1">
      <c r="A63" s="13"/>
      <c r="B63" s="13"/>
      <c r="C63" s="54"/>
      <c r="D63" s="1254" t="s">
        <v>102</v>
      </c>
      <c r="E63" s="1254"/>
      <c r="F63" s="1254"/>
      <c r="G63" s="1254"/>
      <c r="H63" s="1254"/>
      <c r="I63" s="14"/>
    </row>
    <row r="64" spans="1:9" s="53" customFormat="1" ht="41.25" customHeight="1">
      <c r="A64" s="13"/>
      <c r="B64" s="13"/>
      <c r="C64" s="54"/>
      <c r="D64" s="1254" t="s">
        <v>103</v>
      </c>
      <c r="E64" s="1254"/>
      <c r="F64" s="1254"/>
      <c r="G64" s="1254"/>
      <c r="H64" s="1254"/>
      <c r="I64" s="14"/>
    </row>
    <row r="65" spans="1:9" s="53" customFormat="1" ht="27.75" customHeight="1">
      <c r="A65" s="13"/>
      <c r="B65" s="13"/>
      <c r="C65" s="54"/>
      <c r="D65" s="1254" t="s">
        <v>104</v>
      </c>
      <c r="E65" s="1254"/>
      <c r="F65" s="1254"/>
      <c r="G65" s="1254"/>
      <c r="H65" s="1254"/>
      <c r="I65" s="14"/>
    </row>
    <row r="66" spans="1:9" s="53" customFormat="1" ht="27.75" customHeight="1">
      <c r="A66" s="13"/>
      <c r="B66" s="13"/>
      <c r="C66" s="54"/>
      <c r="D66" s="1254" t="s">
        <v>105</v>
      </c>
      <c r="E66" s="1254"/>
      <c r="F66" s="1254"/>
      <c r="G66" s="1254"/>
      <c r="H66" s="1254"/>
      <c r="I66" s="14"/>
    </row>
    <row r="67" spans="1:9" s="53" customFormat="1" ht="41.25" customHeight="1">
      <c r="A67" s="13"/>
      <c r="B67" s="13"/>
      <c r="C67" s="54"/>
      <c r="D67" s="1254" t="s">
        <v>106</v>
      </c>
      <c r="E67" s="1254"/>
      <c r="F67" s="1254"/>
      <c r="G67" s="1254"/>
      <c r="H67" s="1254"/>
      <c r="I67" s="14"/>
    </row>
    <row r="68" spans="1:9" s="53" customFormat="1" ht="41.25" customHeight="1">
      <c r="A68" s="13"/>
      <c r="B68" s="13"/>
      <c r="C68" s="54"/>
      <c r="D68" s="1254" t="s">
        <v>434</v>
      </c>
      <c r="E68" s="1254"/>
      <c r="F68" s="1254"/>
      <c r="G68" s="1254"/>
      <c r="H68" s="1254"/>
      <c r="I68" s="14"/>
    </row>
    <row r="69" spans="1:9" s="53" customFormat="1" ht="15.75" customHeight="1">
      <c r="A69" s="13"/>
      <c r="B69" s="13"/>
      <c r="C69" s="54"/>
      <c r="D69" s="1254" t="s">
        <v>107</v>
      </c>
      <c r="E69" s="1254"/>
      <c r="F69" s="1254"/>
      <c r="G69" s="1254"/>
      <c r="H69" s="1254"/>
      <c r="I69" s="14"/>
    </row>
    <row r="70" spans="1:9" s="53" customFormat="1" ht="27.75" customHeight="1">
      <c r="A70" s="13"/>
      <c r="B70" s="13"/>
      <c r="C70" s="54"/>
      <c r="D70" s="1254" t="s">
        <v>108</v>
      </c>
      <c r="E70" s="1254"/>
      <c r="F70" s="1254"/>
      <c r="G70" s="1254"/>
      <c r="H70" s="1254"/>
      <c r="I70" s="14"/>
    </row>
    <row r="71" spans="1:9" s="53" customFormat="1" ht="41.25" customHeight="1">
      <c r="A71" s="13"/>
      <c r="B71" s="13"/>
      <c r="C71" s="54"/>
      <c r="D71" s="1254" t="s">
        <v>109</v>
      </c>
      <c r="E71" s="1254"/>
      <c r="F71" s="1254"/>
      <c r="G71" s="1254"/>
      <c r="H71" s="1254"/>
      <c r="I71" s="14"/>
    </row>
    <row r="72" spans="1:9" s="53" customFormat="1" ht="14.25" customHeight="1">
      <c r="A72" s="13"/>
      <c r="B72" s="13"/>
      <c r="C72" s="54"/>
      <c r="D72" s="1254" t="s">
        <v>110</v>
      </c>
      <c r="E72" s="1254"/>
      <c r="F72" s="1254"/>
      <c r="G72" s="1254"/>
      <c r="H72" s="1254"/>
      <c r="I72" s="14"/>
    </row>
    <row r="73" spans="1:9" s="53" customFormat="1" ht="28.5" customHeight="1">
      <c r="A73" s="13"/>
      <c r="B73" s="13"/>
      <c r="C73" s="54"/>
      <c r="D73" s="1254" t="s">
        <v>111</v>
      </c>
      <c r="E73" s="1254"/>
      <c r="F73" s="1254"/>
      <c r="G73" s="1254"/>
      <c r="H73" s="1254"/>
      <c r="I73" s="14"/>
    </row>
    <row r="74" spans="1:9" s="53" customFormat="1" ht="28.5" customHeight="1">
      <c r="A74" s="13"/>
      <c r="B74" s="13"/>
      <c r="C74" s="54"/>
      <c r="D74" s="1254" t="s">
        <v>114</v>
      </c>
      <c r="E74" s="1254"/>
      <c r="F74" s="1254"/>
      <c r="G74" s="1254"/>
      <c r="H74" s="1254"/>
      <c r="I74" s="14"/>
    </row>
    <row r="75" spans="1:9" s="53" customFormat="1">
      <c r="A75" s="13"/>
      <c r="B75" s="13"/>
      <c r="C75" s="54"/>
      <c r="D75" s="72"/>
      <c r="E75" s="73"/>
      <c r="F75" s="74"/>
      <c r="G75" s="75"/>
      <c r="H75" s="75"/>
      <c r="I75" s="14"/>
    </row>
    <row r="76" spans="1:9" s="53" customFormat="1">
      <c r="A76" s="13"/>
      <c r="B76" s="13"/>
      <c r="C76" s="54"/>
      <c r="D76" s="72" t="s">
        <v>115</v>
      </c>
      <c r="E76" s="73"/>
      <c r="F76" s="74"/>
      <c r="G76" s="75"/>
      <c r="H76" s="75"/>
      <c r="I76" s="14"/>
    </row>
    <row r="77" spans="1:9" s="53" customFormat="1" ht="27.75" customHeight="1">
      <c r="A77" s="13"/>
      <c r="B77" s="13"/>
      <c r="C77" s="54"/>
      <c r="D77" s="1254" t="s">
        <v>435</v>
      </c>
      <c r="E77" s="1254"/>
      <c r="F77" s="1254"/>
      <c r="G77" s="1254"/>
      <c r="H77" s="1254"/>
      <c r="I77" s="14"/>
    </row>
    <row r="78" spans="1:9" s="53" customFormat="1" ht="42.6" customHeight="1">
      <c r="A78" s="13"/>
      <c r="B78" s="13"/>
      <c r="C78" s="54"/>
      <c r="D78" s="1254" t="s">
        <v>116</v>
      </c>
      <c r="E78" s="1254"/>
      <c r="F78" s="1254"/>
      <c r="G78" s="1254"/>
      <c r="H78" s="1254"/>
      <c r="I78" s="14"/>
    </row>
    <row r="79" spans="1:9" s="53" customFormat="1">
      <c r="A79" s="13"/>
      <c r="B79" s="13"/>
      <c r="C79" s="54"/>
      <c r="D79" s="72"/>
      <c r="E79" s="73"/>
      <c r="F79" s="74"/>
      <c r="G79" s="75"/>
      <c r="H79" s="75"/>
      <c r="I79" s="14"/>
    </row>
    <row r="80" spans="1:9" s="53" customFormat="1">
      <c r="A80" s="13"/>
      <c r="B80" s="13"/>
      <c r="C80" s="54"/>
      <c r="D80" s="248" t="s">
        <v>117</v>
      </c>
      <c r="E80" s="249"/>
      <c r="F80" s="250"/>
      <c r="G80" s="251"/>
      <c r="H80" s="251"/>
      <c r="I80" s="14"/>
    </row>
    <row r="81" spans="1:9" s="53" customFormat="1" ht="40.5" customHeight="1">
      <c r="A81" s="13"/>
      <c r="B81" s="13"/>
      <c r="C81" s="54"/>
      <c r="D81" s="1260" t="s">
        <v>118</v>
      </c>
      <c r="E81" s="1260"/>
      <c r="F81" s="1260"/>
      <c r="G81" s="1260"/>
      <c r="H81" s="1260"/>
      <c r="I81" s="213"/>
    </row>
    <row r="82" spans="1:9" s="53" customFormat="1" ht="14.25" customHeight="1">
      <c r="A82" s="13"/>
      <c r="B82" s="13"/>
      <c r="C82" s="54"/>
      <c r="D82" s="1260" t="s">
        <v>119</v>
      </c>
      <c r="E82" s="1260"/>
      <c r="F82" s="1260"/>
      <c r="G82" s="1260"/>
      <c r="H82" s="1260"/>
      <c r="I82" s="213"/>
    </row>
    <row r="83" spans="1:9" s="53" customFormat="1" ht="54" customHeight="1">
      <c r="A83" s="13"/>
      <c r="B83" s="13"/>
      <c r="C83" s="54"/>
      <c r="D83" s="1260" t="s">
        <v>381</v>
      </c>
      <c r="E83" s="1260"/>
      <c r="F83" s="1260"/>
      <c r="G83" s="1260"/>
      <c r="H83" s="1260"/>
      <c r="I83" s="216"/>
    </row>
    <row r="84" spans="1:9" s="53" customFormat="1" ht="27.75" customHeight="1">
      <c r="A84" s="13"/>
      <c r="B84" s="13"/>
      <c r="C84" s="54"/>
      <c r="D84" s="1260" t="s">
        <v>142</v>
      </c>
      <c r="E84" s="1260"/>
      <c r="F84" s="1260"/>
      <c r="G84" s="1260"/>
      <c r="H84" s="1260"/>
      <c r="I84" s="213"/>
    </row>
    <row r="85" spans="1:9" s="53" customFormat="1" ht="29.45" customHeight="1">
      <c r="A85" s="13"/>
      <c r="B85" s="13"/>
      <c r="C85" s="54"/>
      <c r="D85" s="1260" t="s">
        <v>120</v>
      </c>
      <c r="E85" s="1260"/>
      <c r="F85" s="1260"/>
      <c r="G85" s="1260"/>
      <c r="H85" s="1260"/>
      <c r="I85" s="213"/>
    </row>
    <row r="86" spans="1:9" s="53" customFormat="1" ht="54.75" customHeight="1">
      <c r="A86" s="13"/>
      <c r="B86" s="13"/>
      <c r="C86" s="54"/>
      <c r="D86" s="1260" t="s">
        <v>121</v>
      </c>
      <c r="E86" s="1260"/>
      <c r="F86" s="1260"/>
      <c r="G86" s="1260"/>
      <c r="H86" s="1260"/>
      <c r="I86" s="213"/>
    </row>
    <row r="87" spans="1:9" s="53" customFormat="1" ht="27" customHeight="1">
      <c r="A87" s="13"/>
      <c r="B87" s="13"/>
      <c r="C87" s="54"/>
      <c r="D87" s="1260" t="s">
        <v>122</v>
      </c>
      <c r="E87" s="1260"/>
      <c r="F87" s="1260"/>
      <c r="G87" s="1260"/>
      <c r="H87" s="1260"/>
      <c r="I87" s="213"/>
    </row>
    <row r="88" spans="1:9" s="53" customFormat="1" ht="25.5" customHeight="1">
      <c r="A88" s="13"/>
      <c r="B88" s="13"/>
      <c r="C88" s="54"/>
      <c r="D88" s="1260" t="s">
        <v>123</v>
      </c>
      <c r="E88" s="1260"/>
      <c r="F88" s="1260"/>
      <c r="G88" s="1260"/>
      <c r="H88" s="1260"/>
      <c r="I88" s="213"/>
    </row>
    <row r="89" spans="1:9" s="53" customFormat="1" ht="38.25" customHeight="1">
      <c r="A89" s="13"/>
      <c r="B89" s="13"/>
      <c r="C89" s="54"/>
      <c r="D89" s="1260" t="s">
        <v>124</v>
      </c>
      <c r="E89" s="1260"/>
      <c r="F89" s="1260"/>
      <c r="G89" s="1260"/>
      <c r="H89" s="1260"/>
      <c r="I89" s="213"/>
    </row>
    <row r="90" spans="1:9" s="53" customFormat="1">
      <c r="A90" s="13"/>
      <c r="B90" s="13"/>
      <c r="C90" s="54"/>
      <c r="D90" s="1260" t="s">
        <v>125</v>
      </c>
      <c r="E90" s="1260"/>
      <c r="F90" s="1260"/>
      <c r="G90" s="1260"/>
      <c r="H90" s="1260"/>
      <c r="I90" s="213"/>
    </row>
    <row r="91" spans="1:9" s="53" customFormat="1">
      <c r="A91" s="13"/>
      <c r="B91" s="13"/>
      <c r="C91" s="54"/>
      <c r="D91" s="1260" t="s">
        <v>126</v>
      </c>
      <c r="E91" s="1260"/>
      <c r="F91" s="1260"/>
      <c r="G91" s="1260"/>
      <c r="H91" s="1260"/>
      <c r="I91" s="213"/>
    </row>
    <row r="92" spans="1:9" s="53" customFormat="1">
      <c r="A92" s="13"/>
      <c r="B92" s="13"/>
      <c r="C92" s="54"/>
      <c r="D92" s="1260" t="s">
        <v>127</v>
      </c>
      <c r="E92" s="1260"/>
      <c r="F92" s="1260"/>
      <c r="G92" s="1260"/>
      <c r="H92" s="1260"/>
      <c r="I92" s="213"/>
    </row>
    <row r="93" spans="1:9" s="53" customFormat="1">
      <c r="A93" s="13"/>
      <c r="B93" s="13"/>
      <c r="C93" s="54"/>
      <c r="D93" s="1260" t="s">
        <v>128</v>
      </c>
      <c r="E93" s="1260"/>
      <c r="F93" s="1260"/>
      <c r="G93" s="1260"/>
      <c r="H93" s="1260"/>
      <c r="I93" s="213"/>
    </row>
    <row r="94" spans="1:9" s="53" customFormat="1">
      <c r="A94" s="13"/>
      <c r="B94" s="13"/>
      <c r="C94" s="54"/>
      <c r="D94" s="1260" t="s">
        <v>129</v>
      </c>
      <c r="E94" s="1260"/>
      <c r="F94" s="1260"/>
      <c r="G94" s="1260"/>
      <c r="H94" s="1260"/>
      <c r="I94" s="213"/>
    </row>
    <row r="95" spans="1:9" s="53" customFormat="1">
      <c r="A95" s="13"/>
      <c r="B95" s="13"/>
      <c r="C95" s="54"/>
      <c r="D95" s="1260" t="s">
        <v>130</v>
      </c>
      <c r="E95" s="1260"/>
      <c r="F95" s="1260"/>
      <c r="G95" s="1260"/>
      <c r="H95" s="1260"/>
      <c r="I95" s="213"/>
    </row>
    <row r="96" spans="1:9" s="53" customFormat="1">
      <c r="A96" s="13"/>
      <c r="B96" s="13"/>
      <c r="C96" s="54"/>
      <c r="D96" s="1260" t="s">
        <v>131</v>
      </c>
      <c r="E96" s="1260"/>
      <c r="F96" s="1260"/>
      <c r="G96" s="1260"/>
      <c r="H96" s="1260"/>
      <c r="I96" s="213"/>
    </row>
    <row r="97" spans="1:9" s="53" customFormat="1">
      <c r="A97" s="13"/>
      <c r="B97" s="13"/>
      <c r="C97" s="54"/>
      <c r="D97" s="1260" t="s">
        <v>132</v>
      </c>
      <c r="E97" s="1260"/>
      <c r="F97" s="1260"/>
      <c r="G97" s="1260"/>
      <c r="H97" s="1260"/>
      <c r="I97" s="213"/>
    </row>
    <row r="98" spans="1:9" s="53" customFormat="1" ht="12.75" customHeight="1">
      <c r="A98" s="13"/>
      <c r="B98" s="13"/>
      <c r="C98" s="54"/>
      <c r="D98" s="1260" t="s">
        <v>143</v>
      </c>
      <c r="E98" s="1260"/>
      <c r="F98" s="1260"/>
      <c r="G98" s="1260"/>
      <c r="H98" s="1260"/>
      <c r="I98" s="213"/>
    </row>
    <row r="99" spans="1:9" s="53" customFormat="1">
      <c r="A99" s="13"/>
      <c r="B99" s="13"/>
      <c r="C99" s="54"/>
      <c r="D99" s="1260" t="s">
        <v>133</v>
      </c>
      <c r="E99" s="1260"/>
      <c r="F99" s="1260"/>
      <c r="G99" s="1260"/>
      <c r="H99" s="1260"/>
      <c r="I99" s="213"/>
    </row>
    <row r="100" spans="1:9" s="53" customFormat="1" ht="12.75" customHeight="1">
      <c r="A100" s="13"/>
      <c r="B100" s="13"/>
      <c r="C100" s="54"/>
      <c r="D100" s="1260" t="s">
        <v>134</v>
      </c>
      <c r="E100" s="1260"/>
      <c r="F100" s="1260"/>
      <c r="G100" s="1260"/>
      <c r="H100" s="1260"/>
      <c r="I100" s="213"/>
    </row>
    <row r="101" spans="1:9" s="53" customFormat="1">
      <c r="A101" s="13"/>
      <c r="B101" s="13"/>
      <c r="C101" s="54"/>
      <c r="D101" s="1260" t="s">
        <v>135</v>
      </c>
      <c r="E101" s="1260"/>
      <c r="F101" s="1260"/>
      <c r="G101" s="1260"/>
      <c r="H101" s="1260"/>
      <c r="I101" s="213"/>
    </row>
    <row r="102" spans="1:9" s="53" customFormat="1">
      <c r="A102" s="13"/>
      <c r="B102" s="13"/>
      <c r="C102" s="54"/>
      <c r="D102" s="1260" t="s">
        <v>136</v>
      </c>
      <c r="E102" s="1260"/>
      <c r="F102" s="1260"/>
      <c r="G102" s="1260"/>
      <c r="H102" s="1260"/>
      <c r="I102" s="213"/>
    </row>
    <row r="103" spans="1:9" s="53" customFormat="1" ht="25.5" customHeight="1">
      <c r="A103" s="13"/>
      <c r="B103" s="13"/>
      <c r="C103" s="54"/>
      <c r="D103" s="1260" t="s">
        <v>137</v>
      </c>
      <c r="E103" s="1260"/>
      <c r="F103" s="1260"/>
      <c r="G103" s="1260"/>
      <c r="H103" s="1260"/>
      <c r="I103" s="213"/>
    </row>
    <row r="104" spans="1:9" s="53" customFormat="1">
      <c r="A104" s="13"/>
      <c r="B104" s="13"/>
      <c r="C104" s="54"/>
      <c r="D104" s="1260" t="s">
        <v>138</v>
      </c>
      <c r="E104" s="1260"/>
      <c r="F104" s="1260"/>
      <c r="G104" s="1260"/>
      <c r="H104" s="1260"/>
      <c r="I104" s="213"/>
    </row>
    <row r="105" spans="1:9" s="53" customFormat="1">
      <c r="A105" s="13"/>
      <c r="B105" s="13"/>
      <c r="C105" s="54"/>
      <c r="D105" s="1260" t="s">
        <v>139</v>
      </c>
      <c r="E105" s="1260"/>
      <c r="F105" s="1260"/>
      <c r="G105" s="1260"/>
      <c r="H105" s="1260"/>
      <c r="I105" s="213"/>
    </row>
    <row r="106" spans="1:9" s="53" customFormat="1">
      <c r="A106" s="13"/>
      <c r="B106" s="13"/>
      <c r="C106" s="54"/>
      <c r="D106" s="1260" t="s">
        <v>140</v>
      </c>
      <c r="E106" s="1260"/>
      <c r="F106" s="1260"/>
      <c r="G106" s="1260"/>
      <c r="H106" s="1260"/>
      <c r="I106" s="213"/>
    </row>
    <row r="107" spans="1:9" s="53" customFormat="1" ht="27" customHeight="1">
      <c r="A107" s="13"/>
      <c r="B107" s="13"/>
      <c r="C107" s="54"/>
      <c r="D107" s="1260" t="s">
        <v>141</v>
      </c>
      <c r="E107" s="1260"/>
      <c r="F107" s="1260"/>
      <c r="G107" s="1260"/>
      <c r="H107" s="1260"/>
      <c r="I107" s="213"/>
    </row>
    <row r="108" spans="1:9" s="53" customFormat="1" ht="27" customHeight="1">
      <c r="A108" s="13"/>
      <c r="B108" s="13"/>
      <c r="C108" s="54"/>
      <c r="D108" s="1260" t="s">
        <v>144</v>
      </c>
      <c r="E108" s="1260"/>
      <c r="F108" s="1260"/>
      <c r="G108" s="1260"/>
      <c r="H108" s="1260"/>
      <c r="I108" s="213"/>
    </row>
    <row r="109" spans="1:9" s="53" customFormat="1">
      <c r="A109" s="13"/>
      <c r="B109" s="13"/>
      <c r="C109" s="54"/>
      <c r="D109" s="72"/>
      <c r="E109" s="73"/>
      <c r="F109" s="74"/>
      <c r="G109" s="75"/>
      <c r="H109" s="75"/>
      <c r="I109" s="14"/>
    </row>
    <row r="110" spans="1:9" s="53" customFormat="1">
      <c r="A110" s="13"/>
      <c r="B110" s="13"/>
      <c r="C110" s="54"/>
      <c r="D110" s="248" t="s">
        <v>145</v>
      </c>
      <c r="E110" s="249"/>
      <c r="F110" s="250"/>
      <c r="G110" s="251"/>
      <c r="H110" s="251"/>
      <c r="I110" s="14"/>
    </row>
    <row r="111" spans="1:9" s="53" customFormat="1" ht="27.75" customHeight="1">
      <c r="A111" s="13"/>
      <c r="B111" s="13"/>
      <c r="C111" s="54"/>
      <c r="D111" s="1260" t="s">
        <v>146</v>
      </c>
      <c r="E111" s="1260"/>
      <c r="F111" s="1260"/>
      <c r="G111" s="1260"/>
      <c r="H111" s="1260"/>
      <c r="I111" s="14"/>
    </row>
    <row r="112" spans="1:9" s="53" customFormat="1" ht="38.25" customHeight="1">
      <c r="A112" s="13"/>
      <c r="B112" s="13"/>
      <c r="C112" s="54"/>
      <c r="D112" s="1260" t="s">
        <v>147</v>
      </c>
      <c r="E112" s="1260"/>
      <c r="F112" s="1260"/>
      <c r="G112" s="1260"/>
      <c r="H112" s="1260"/>
      <c r="I112" s="14"/>
    </row>
    <row r="113" spans="1:9" s="53" customFormat="1" ht="52.5" customHeight="1">
      <c r="A113" s="13"/>
      <c r="B113" s="13"/>
      <c r="C113" s="54"/>
      <c r="D113" s="1260" t="s">
        <v>148</v>
      </c>
      <c r="E113" s="1260"/>
      <c r="F113" s="1260"/>
      <c r="G113" s="1260"/>
      <c r="H113" s="1260"/>
      <c r="I113" s="14"/>
    </row>
    <row r="114" spans="1:9" s="53" customFormat="1" ht="39.75" customHeight="1">
      <c r="A114" s="13"/>
      <c r="B114" s="13"/>
      <c r="C114" s="54"/>
      <c r="D114" s="1260" t="s">
        <v>149</v>
      </c>
      <c r="E114" s="1260"/>
      <c r="F114" s="1260"/>
      <c r="G114" s="1260"/>
      <c r="H114" s="1260"/>
      <c r="I114" s="14"/>
    </row>
    <row r="115" spans="1:9" s="53" customFormat="1" ht="51.75" customHeight="1">
      <c r="A115" s="13"/>
      <c r="B115" s="13"/>
      <c r="C115" s="54"/>
      <c r="D115" s="1260" t="s">
        <v>150</v>
      </c>
      <c r="E115" s="1260"/>
      <c r="F115" s="1260"/>
      <c r="G115" s="1260"/>
      <c r="H115" s="1260"/>
      <c r="I115" s="14"/>
    </row>
    <row r="116" spans="1:9" s="53" customFormat="1" ht="26.25" customHeight="1">
      <c r="A116" s="13"/>
      <c r="B116" s="13"/>
      <c r="C116" s="54"/>
      <c r="D116" s="1260" t="s">
        <v>151</v>
      </c>
      <c r="E116" s="1260"/>
      <c r="F116" s="1260"/>
      <c r="G116" s="1260"/>
      <c r="H116" s="1260"/>
      <c r="I116" s="14"/>
    </row>
    <row r="117" spans="1:9" s="53" customFormat="1" ht="39" customHeight="1">
      <c r="A117" s="13"/>
      <c r="B117" s="13"/>
      <c r="C117" s="54"/>
      <c r="D117" s="1260" t="s">
        <v>152</v>
      </c>
      <c r="E117" s="1260"/>
      <c r="F117" s="1260"/>
      <c r="G117" s="1260"/>
      <c r="H117" s="1260"/>
      <c r="I117" s="14"/>
    </row>
    <row r="118" spans="1:9" s="53" customFormat="1" ht="26.25" customHeight="1">
      <c r="A118" s="13"/>
      <c r="B118" s="13"/>
      <c r="C118" s="54"/>
      <c r="D118" s="1260" t="s">
        <v>153</v>
      </c>
      <c r="E118" s="1260"/>
      <c r="F118" s="1260"/>
      <c r="G118" s="1260"/>
      <c r="H118" s="1260"/>
      <c r="I118" s="14"/>
    </row>
    <row r="119" spans="1:9" s="53" customFormat="1" ht="13.5" customHeight="1">
      <c r="A119" s="13"/>
      <c r="B119" s="13"/>
      <c r="C119" s="54"/>
      <c r="D119" s="1260" t="s">
        <v>154</v>
      </c>
      <c r="E119" s="1260"/>
      <c r="F119" s="1260"/>
      <c r="G119" s="1260"/>
      <c r="H119" s="1260"/>
      <c r="I119" s="14"/>
    </row>
    <row r="120" spans="1:9" s="53" customFormat="1">
      <c r="A120" s="13"/>
      <c r="B120" s="13"/>
      <c r="C120" s="54"/>
      <c r="D120" s="1260" t="s">
        <v>155</v>
      </c>
      <c r="E120" s="1260"/>
      <c r="F120" s="1260"/>
      <c r="G120" s="1260"/>
      <c r="H120" s="1260"/>
      <c r="I120" s="14"/>
    </row>
    <row r="121" spans="1:9" s="53" customFormat="1">
      <c r="A121" s="13"/>
      <c r="B121" s="13"/>
      <c r="C121" s="54"/>
      <c r="D121" s="1260" t="s">
        <v>156</v>
      </c>
      <c r="E121" s="1260"/>
      <c r="F121" s="1260"/>
      <c r="G121" s="1260"/>
      <c r="H121" s="1260"/>
      <c r="I121" s="14"/>
    </row>
    <row r="122" spans="1:9" s="53" customFormat="1">
      <c r="A122" s="13"/>
      <c r="B122" s="13"/>
      <c r="C122" s="54"/>
      <c r="D122" s="1260" t="s">
        <v>157</v>
      </c>
      <c r="E122" s="1260"/>
      <c r="F122" s="1260"/>
      <c r="G122" s="1260"/>
      <c r="H122" s="1260"/>
      <c r="I122" s="14"/>
    </row>
    <row r="123" spans="1:9" s="53" customFormat="1" ht="12.75" customHeight="1">
      <c r="A123" s="13"/>
      <c r="B123" s="13"/>
      <c r="C123" s="54"/>
      <c r="D123" s="1260" t="s">
        <v>158</v>
      </c>
      <c r="E123" s="1260"/>
      <c r="F123" s="1260"/>
      <c r="G123" s="1260"/>
      <c r="H123" s="1260"/>
      <c r="I123" s="14"/>
    </row>
    <row r="124" spans="1:9" s="53" customFormat="1" ht="12.75" customHeight="1">
      <c r="A124" s="13"/>
      <c r="B124" s="13"/>
      <c r="C124" s="54"/>
      <c r="D124" s="1260" t="s">
        <v>159</v>
      </c>
      <c r="E124" s="1260"/>
      <c r="F124" s="1260"/>
      <c r="G124" s="1260"/>
      <c r="H124" s="1260"/>
      <c r="I124" s="14"/>
    </row>
    <row r="125" spans="1:9" s="53" customFormat="1" ht="12.75" customHeight="1">
      <c r="A125" s="13"/>
      <c r="B125" s="13"/>
      <c r="C125" s="54"/>
      <c r="D125" s="1260" t="s">
        <v>160</v>
      </c>
      <c r="E125" s="1260"/>
      <c r="F125" s="1260"/>
      <c r="G125" s="1260"/>
      <c r="H125" s="1260"/>
      <c r="I125" s="14"/>
    </row>
    <row r="126" spans="1:9" s="53" customFormat="1" ht="12.75" customHeight="1">
      <c r="A126" s="13"/>
      <c r="B126" s="13"/>
      <c r="C126" s="54"/>
      <c r="D126" s="1260" t="s">
        <v>161</v>
      </c>
      <c r="E126" s="1260"/>
      <c r="F126" s="1260"/>
      <c r="G126" s="1260"/>
      <c r="H126" s="1260"/>
      <c r="I126" s="14"/>
    </row>
    <row r="127" spans="1:9" s="53" customFormat="1" ht="12.75" customHeight="1">
      <c r="A127" s="13"/>
      <c r="B127" s="13"/>
      <c r="C127" s="54"/>
      <c r="D127" s="1260" t="s">
        <v>162</v>
      </c>
      <c r="E127" s="1260"/>
      <c r="F127" s="1260"/>
      <c r="G127" s="1260"/>
      <c r="H127" s="1260"/>
      <c r="I127" s="14"/>
    </row>
    <row r="128" spans="1:9" s="53" customFormat="1" ht="26.25" customHeight="1">
      <c r="A128" s="13"/>
      <c r="B128" s="13"/>
      <c r="C128" s="54"/>
      <c r="D128" s="1260" t="s">
        <v>163</v>
      </c>
      <c r="E128" s="1260"/>
      <c r="F128" s="1260"/>
      <c r="G128" s="1260"/>
      <c r="H128" s="1260"/>
      <c r="I128" s="14"/>
    </row>
    <row r="129" spans="1:9" s="53" customFormat="1" ht="39" customHeight="1">
      <c r="A129" s="13"/>
      <c r="B129" s="13"/>
      <c r="C129" s="54"/>
      <c r="D129" s="1260" t="s">
        <v>164</v>
      </c>
      <c r="E129" s="1260"/>
      <c r="F129" s="1260"/>
      <c r="G129" s="1260"/>
      <c r="H129" s="1260"/>
      <c r="I129" s="14"/>
    </row>
    <row r="130" spans="1:9" s="53" customFormat="1" ht="54.75" customHeight="1">
      <c r="A130" s="13"/>
      <c r="B130" s="13"/>
      <c r="C130" s="54"/>
      <c r="D130" s="1260" t="s">
        <v>436</v>
      </c>
      <c r="E130" s="1260"/>
      <c r="F130" s="1260"/>
      <c r="G130" s="1260"/>
      <c r="H130" s="1260"/>
      <c r="I130" s="14"/>
    </row>
    <row r="131" spans="1:9" s="53" customFormat="1" ht="25.5" customHeight="1">
      <c r="A131" s="13"/>
      <c r="B131" s="13"/>
      <c r="C131" s="54"/>
      <c r="D131" s="1260" t="s">
        <v>437</v>
      </c>
      <c r="E131" s="1260"/>
      <c r="F131" s="1260"/>
      <c r="G131" s="1260"/>
      <c r="H131" s="1260"/>
      <c r="I131" s="14"/>
    </row>
    <row r="132" spans="1:9" s="53" customFormat="1">
      <c r="A132" s="13"/>
      <c r="B132" s="13"/>
      <c r="C132" s="54"/>
      <c r="D132" s="1260" t="s">
        <v>165</v>
      </c>
      <c r="E132" s="1260"/>
      <c r="F132" s="1260"/>
      <c r="G132" s="1260"/>
      <c r="H132" s="1260"/>
      <c r="I132" s="14"/>
    </row>
    <row r="133" spans="1:9" s="53" customFormat="1" ht="26.25" customHeight="1">
      <c r="A133" s="13"/>
      <c r="B133" s="13"/>
      <c r="C133" s="54"/>
      <c r="D133" s="1260" t="s">
        <v>166</v>
      </c>
      <c r="E133" s="1260"/>
      <c r="F133" s="1260"/>
      <c r="G133" s="1260"/>
      <c r="H133" s="1260"/>
      <c r="I133" s="14"/>
    </row>
    <row r="134" spans="1:9" s="53" customFormat="1" ht="39.75" customHeight="1">
      <c r="A134" s="13"/>
      <c r="B134" s="13"/>
      <c r="C134" s="54"/>
      <c r="D134" s="1260" t="s">
        <v>173</v>
      </c>
      <c r="E134" s="1260"/>
      <c r="F134" s="1260"/>
      <c r="G134" s="1260"/>
      <c r="H134" s="1260"/>
      <c r="I134" s="14"/>
    </row>
    <row r="135" spans="1:9" s="53" customFormat="1" ht="25.5" customHeight="1">
      <c r="A135" s="13"/>
      <c r="B135" s="13"/>
      <c r="C135" s="54"/>
      <c r="D135" s="1260" t="s">
        <v>174</v>
      </c>
      <c r="E135" s="1260"/>
      <c r="F135" s="1260"/>
      <c r="G135" s="1260"/>
      <c r="H135" s="1260"/>
      <c r="I135" s="14"/>
    </row>
    <row r="136" spans="1:9" s="53" customFormat="1" ht="39.75" customHeight="1">
      <c r="A136" s="13"/>
      <c r="B136" s="13"/>
      <c r="C136" s="54"/>
      <c r="D136" s="1260" t="s">
        <v>167</v>
      </c>
      <c r="E136" s="1260"/>
      <c r="F136" s="1260"/>
      <c r="G136" s="1260"/>
      <c r="H136" s="1260"/>
      <c r="I136" s="14"/>
    </row>
    <row r="137" spans="1:9" s="53" customFormat="1" ht="54" customHeight="1">
      <c r="A137" s="13"/>
      <c r="B137" s="13"/>
      <c r="C137" s="54"/>
      <c r="D137" s="1260" t="s">
        <v>168</v>
      </c>
      <c r="E137" s="1260"/>
      <c r="F137" s="1260"/>
      <c r="G137" s="1260"/>
      <c r="H137" s="1260"/>
      <c r="I137" s="14"/>
    </row>
    <row r="138" spans="1:9" s="53" customFormat="1" ht="12.75" customHeight="1">
      <c r="A138" s="13"/>
      <c r="B138" s="13"/>
      <c r="C138" s="54"/>
      <c r="D138" s="1260" t="s">
        <v>169</v>
      </c>
      <c r="E138" s="1260"/>
      <c r="F138" s="1260"/>
      <c r="G138" s="1260"/>
      <c r="H138" s="1260"/>
      <c r="I138" s="14"/>
    </row>
    <row r="139" spans="1:9" s="53" customFormat="1" ht="39" customHeight="1">
      <c r="A139" s="13"/>
      <c r="B139" s="13"/>
      <c r="C139" s="54"/>
      <c r="D139" s="1260" t="s">
        <v>170</v>
      </c>
      <c r="E139" s="1260"/>
      <c r="F139" s="1260"/>
      <c r="G139" s="1260"/>
      <c r="H139" s="1260"/>
      <c r="I139" s="14"/>
    </row>
    <row r="140" spans="1:9" s="53" customFormat="1" ht="27" customHeight="1">
      <c r="A140" s="13"/>
      <c r="B140" s="13"/>
      <c r="C140" s="54"/>
      <c r="D140" s="1260" t="s">
        <v>171</v>
      </c>
      <c r="E140" s="1260"/>
      <c r="F140" s="1260"/>
      <c r="G140" s="1260"/>
      <c r="H140" s="1260"/>
      <c r="I140" s="14"/>
    </row>
    <row r="141" spans="1:9" s="53" customFormat="1" ht="12.75" customHeight="1">
      <c r="A141" s="13"/>
      <c r="B141" s="13"/>
      <c r="C141" s="54"/>
      <c r="D141" s="1260" t="s">
        <v>172</v>
      </c>
      <c r="E141" s="1260"/>
      <c r="F141" s="1260"/>
      <c r="G141" s="1260"/>
      <c r="H141" s="1260"/>
      <c r="I141" s="14"/>
    </row>
    <row r="142" spans="1:9" s="53" customFormat="1" ht="13.9" customHeight="1">
      <c r="A142" s="13"/>
      <c r="B142" s="13"/>
      <c r="C142" s="54"/>
      <c r="D142" s="1260" t="s">
        <v>175</v>
      </c>
      <c r="E142" s="1260"/>
      <c r="F142" s="1260"/>
      <c r="G142" s="1260"/>
      <c r="H142" s="1260"/>
      <c r="I142" s="14"/>
    </row>
    <row r="143" spans="1:9" s="53" customFormat="1" ht="13.9" customHeight="1">
      <c r="A143" s="13"/>
      <c r="B143" s="13"/>
      <c r="C143" s="54"/>
      <c r="D143" s="1260" t="s">
        <v>176</v>
      </c>
      <c r="E143" s="1260"/>
      <c r="F143" s="1260"/>
      <c r="G143" s="1260"/>
      <c r="H143" s="1260"/>
      <c r="I143" s="14"/>
    </row>
    <row r="144" spans="1:9" s="53" customFormat="1">
      <c r="A144" s="13"/>
      <c r="B144" s="13"/>
      <c r="C144" s="54"/>
      <c r="D144" s="1260" t="s">
        <v>177</v>
      </c>
      <c r="E144" s="1260"/>
      <c r="F144" s="1260"/>
      <c r="G144" s="1260"/>
      <c r="H144" s="1260"/>
      <c r="I144" s="14"/>
    </row>
    <row r="145" spans="1:9" s="53" customFormat="1" ht="13.9" customHeight="1">
      <c r="A145" s="13"/>
      <c r="B145" s="13"/>
      <c r="C145" s="54"/>
      <c r="D145" s="1260" t="s">
        <v>184</v>
      </c>
      <c r="E145" s="1260"/>
      <c r="F145" s="1260"/>
      <c r="G145" s="1260"/>
      <c r="H145" s="1260"/>
      <c r="I145" s="14"/>
    </row>
    <row r="146" spans="1:9" s="53" customFormat="1" ht="39" customHeight="1">
      <c r="A146" s="13"/>
      <c r="B146" s="13"/>
      <c r="C146" s="54"/>
      <c r="D146" s="1260" t="s">
        <v>178</v>
      </c>
      <c r="E146" s="1260"/>
      <c r="F146" s="1260"/>
      <c r="G146" s="1260"/>
      <c r="H146" s="1260"/>
      <c r="I146" s="14"/>
    </row>
    <row r="147" spans="1:9" s="53" customFormat="1" ht="27" customHeight="1">
      <c r="A147" s="13"/>
      <c r="B147" s="13"/>
      <c r="C147" s="54"/>
      <c r="D147" s="1260" t="s">
        <v>179</v>
      </c>
      <c r="E147" s="1260"/>
      <c r="F147" s="1260"/>
      <c r="G147" s="1260"/>
      <c r="H147" s="1260"/>
      <c r="I147" s="14"/>
    </row>
    <row r="148" spans="1:9" s="53" customFormat="1" ht="26.25" customHeight="1">
      <c r="A148" s="13"/>
      <c r="B148" s="13"/>
      <c r="C148" s="54"/>
      <c r="D148" s="1260" t="s">
        <v>185</v>
      </c>
      <c r="E148" s="1260"/>
      <c r="F148" s="1260"/>
      <c r="G148" s="1260"/>
      <c r="H148" s="1260"/>
      <c r="I148" s="14"/>
    </row>
    <row r="149" spans="1:9" s="53" customFormat="1" ht="39" customHeight="1">
      <c r="A149" s="13"/>
      <c r="B149" s="13"/>
      <c r="C149" s="54"/>
      <c r="D149" s="1260" t="s">
        <v>180</v>
      </c>
      <c r="E149" s="1260"/>
      <c r="F149" s="1260"/>
      <c r="G149" s="1260"/>
      <c r="H149" s="1260"/>
      <c r="I149" s="14"/>
    </row>
    <row r="150" spans="1:9" s="53" customFormat="1" ht="39" customHeight="1">
      <c r="A150" s="13"/>
      <c r="B150" s="13"/>
      <c r="C150" s="54"/>
      <c r="D150" s="1260" t="s">
        <v>181</v>
      </c>
      <c r="E150" s="1260"/>
      <c r="F150" s="1260"/>
      <c r="G150" s="1260"/>
      <c r="H150" s="1260"/>
      <c r="I150" s="14"/>
    </row>
    <row r="151" spans="1:9" s="53" customFormat="1" ht="40.5" customHeight="1">
      <c r="A151" s="13"/>
      <c r="B151" s="13"/>
      <c r="C151" s="54"/>
      <c r="D151" s="1260" t="s">
        <v>182</v>
      </c>
      <c r="E151" s="1260"/>
      <c r="F151" s="1260"/>
      <c r="G151" s="1260"/>
      <c r="H151" s="1260"/>
      <c r="I151" s="14"/>
    </row>
    <row r="152" spans="1:9" s="53" customFormat="1" ht="12.75" customHeight="1">
      <c r="A152" s="13"/>
      <c r="B152" s="13"/>
      <c r="C152" s="54"/>
      <c r="D152" s="1260" t="s">
        <v>183</v>
      </c>
      <c r="E152" s="1260"/>
      <c r="F152" s="1260"/>
      <c r="G152" s="1260"/>
      <c r="H152" s="1260"/>
      <c r="I152" s="14"/>
    </row>
    <row r="153" spans="1:9" s="53" customFormat="1">
      <c r="A153" s="13"/>
      <c r="B153" s="13"/>
      <c r="C153" s="54"/>
      <c r="D153" s="1260" t="s">
        <v>186</v>
      </c>
      <c r="E153" s="1260"/>
      <c r="F153" s="1260"/>
      <c r="G153" s="1260"/>
      <c r="H153" s="1260"/>
      <c r="I153" s="14"/>
    </row>
    <row r="154" spans="1:9" s="53" customFormat="1">
      <c r="A154" s="13"/>
      <c r="B154" s="13"/>
      <c r="C154" s="54"/>
      <c r="D154" s="1260" t="s">
        <v>188</v>
      </c>
      <c r="E154" s="1260"/>
      <c r="F154" s="1260"/>
      <c r="G154" s="1260"/>
      <c r="H154" s="1260"/>
      <c r="I154" s="14"/>
    </row>
    <row r="155" spans="1:9" s="53" customFormat="1">
      <c r="A155" s="13"/>
      <c r="B155" s="13"/>
      <c r="C155" s="54"/>
      <c r="D155" s="1260" t="s">
        <v>189</v>
      </c>
      <c r="E155" s="1260"/>
      <c r="F155" s="1260"/>
      <c r="G155" s="1260"/>
      <c r="H155" s="1260"/>
      <c r="I155" s="14"/>
    </row>
    <row r="156" spans="1:9" s="53" customFormat="1">
      <c r="A156" s="13"/>
      <c r="B156" s="13"/>
      <c r="C156" s="54"/>
      <c r="D156" s="1260" t="s">
        <v>190</v>
      </c>
      <c r="E156" s="1260"/>
      <c r="F156" s="1260"/>
      <c r="G156" s="1260"/>
      <c r="H156" s="1260"/>
      <c r="I156" s="14"/>
    </row>
    <row r="157" spans="1:9" s="53" customFormat="1">
      <c r="A157" s="13"/>
      <c r="B157" s="13"/>
      <c r="C157" s="54"/>
      <c r="D157" s="1260" t="s">
        <v>191</v>
      </c>
      <c r="E157" s="1260"/>
      <c r="F157" s="1260"/>
      <c r="G157" s="1260"/>
      <c r="H157" s="1260"/>
      <c r="I157" s="14"/>
    </row>
    <row r="158" spans="1:9" s="53" customFormat="1">
      <c r="A158" s="13"/>
      <c r="B158" s="13"/>
      <c r="C158" s="54"/>
      <c r="D158" s="1260" t="s">
        <v>192</v>
      </c>
      <c r="E158" s="1260"/>
      <c r="F158" s="1260"/>
      <c r="G158" s="1260"/>
      <c r="H158" s="1260"/>
      <c r="I158" s="14"/>
    </row>
    <row r="159" spans="1:9" s="53" customFormat="1">
      <c r="A159" s="13"/>
      <c r="B159" s="13"/>
      <c r="C159" s="54"/>
      <c r="D159" s="1260" t="s">
        <v>193</v>
      </c>
      <c r="E159" s="1260"/>
      <c r="F159" s="1260"/>
      <c r="G159" s="1260"/>
      <c r="H159" s="1260"/>
      <c r="I159" s="14"/>
    </row>
    <row r="160" spans="1:9" s="53" customFormat="1">
      <c r="A160" s="13"/>
      <c r="B160" s="13"/>
      <c r="C160" s="54"/>
      <c r="D160" s="1260" t="s">
        <v>194</v>
      </c>
      <c r="E160" s="1260"/>
      <c r="F160" s="1260"/>
      <c r="G160" s="1260"/>
      <c r="H160" s="1260"/>
      <c r="I160" s="14"/>
    </row>
    <row r="161" spans="1:9" s="53" customFormat="1" ht="39" customHeight="1">
      <c r="A161" s="13"/>
      <c r="B161" s="13"/>
      <c r="C161" s="54"/>
      <c r="D161" s="1260" t="s">
        <v>195</v>
      </c>
      <c r="E161" s="1260"/>
      <c r="F161" s="1260"/>
      <c r="G161" s="1260"/>
      <c r="H161" s="1260"/>
      <c r="I161" s="14"/>
    </row>
    <row r="162" spans="1:9" s="53" customFormat="1" ht="13.9" customHeight="1">
      <c r="A162" s="13"/>
      <c r="B162" s="13"/>
      <c r="C162" s="54"/>
      <c r="D162" s="1260" t="s">
        <v>187</v>
      </c>
      <c r="E162" s="1260"/>
      <c r="F162" s="1260"/>
      <c r="G162" s="1260"/>
      <c r="H162" s="1260"/>
      <c r="I162" s="14"/>
    </row>
    <row r="163" spans="1:9" s="53" customFormat="1">
      <c r="A163" s="13"/>
      <c r="B163" s="13"/>
      <c r="C163" s="54"/>
      <c r="D163" s="1260" t="s">
        <v>196</v>
      </c>
      <c r="E163" s="1260"/>
      <c r="F163" s="1260"/>
      <c r="G163" s="1260"/>
      <c r="H163" s="1260"/>
      <c r="I163" s="14"/>
    </row>
    <row r="164" spans="1:9" s="53" customFormat="1" ht="12.75" customHeight="1">
      <c r="A164" s="13"/>
      <c r="B164" s="13"/>
      <c r="C164" s="54"/>
      <c r="D164" s="1260" t="s">
        <v>197</v>
      </c>
      <c r="E164" s="1260"/>
      <c r="F164" s="1260"/>
      <c r="G164" s="1260"/>
      <c r="H164" s="1260"/>
      <c r="I164" s="14"/>
    </row>
    <row r="165" spans="1:9" s="53" customFormat="1">
      <c r="A165" s="13"/>
      <c r="B165" s="13"/>
      <c r="C165" s="54"/>
      <c r="D165" s="1261"/>
      <c r="E165" s="1261"/>
      <c r="F165" s="1261"/>
      <c r="G165" s="1261"/>
      <c r="H165" s="1261"/>
      <c r="I165" s="14"/>
    </row>
    <row r="166" spans="1:9" s="53" customFormat="1">
      <c r="A166" s="13"/>
      <c r="B166" s="13"/>
      <c r="C166" s="54"/>
      <c r="D166" s="1255" t="s">
        <v>198</v>
      </c>
      <c r="E166" s="1255"/>
      <c r="F166" s="1255"/>
      <c r="G166" s="1255"/>
      <c r="H166" s="1255"/>
      <c r="I166" s="14"/>
    </row>
    <row r="167" spans="1:9" s="53" customFormat="1" ht="13.9" customHeight="1">
      <c r="A167" s="13"/>
      <c r="B167" s="13"/>
      <c r="C167" s="54"/>
      <c r="D167" s="1254" t="s">
        <v>199</v>
      </c>
      <c r="E167" s="1254"/>
      <c r="F167" s="1254"/>
      <c r="G167" s="1254"/>
      <c r="H167" s="1254"/>
      <c r="I167" s="14"/>
    </row>
    <row r="168" spans="1:9" s="53" customFormat="1" ht="39.75" customHeight="1">
      <c r="A168" s="13"/>
      <c r="B168" s="13"/>
      <c r="C168" s="54"/>
      <c r="D168" s="1254" t="s">
        <v>200</v>
      </c>
      <c r="E168" s="1254"/>
      <c r="F168" s="1254"/>
      <c r="G168" s="1254"/>
      <c r="H168" s="1254"/>
      <c r="I168" s="14"/>
    </row>
    <row r="169" spans="1:9" s="53" customFormat="1" ht="26.25" customHeight="1">
      <c r="A169" s="13"/>
      <c r="B169" s="13"/>
      <c r="C169" s="54"/>
      <c r="D169" s="1254" t="s">
        <v>201</v>
      </c>
      <c r="E169" s="1254"/>
      <c r="F169" s="1254"/>
      <c r="G169" s="1254"/>
      <c r="H169" s="1254"/>
      <c r="I169" s="14"/>
    </row>
    <row r="170" spans="1:9" s="53" customFormat="1" ht="66" customHeight="1">
      <c r="A170" s="13"/>
      <c r="B170" s="13"/>
      <c r="C170" s="54"/>
      <c r="D170" s="1254" t="s">
        <v>202</v>
      </c>
      <c r="E170" s="1254"/>
      <c r="F170" s="1254"/>
      <c r="G170" s="1254"/>
      <c r="H170" s="1254"/>
      <c r="I170" s="14"/>
    </row>
    <row r="171" spans="1:9" s="53" customFormat="1" ht="39.75" customHeight="1">
      <c r="A171" s="13"/>
      <c r="B171" s="13"/>
      <c r="C171" s="54"/>
      <c r="D171" s="1254" t="s">
        <v>203</v>
      </c>
      <c r="E171" s="1254"/>
      <c r="F171" s="1254"/>
      <c r="G171" s="1254"/>
      <c r="H171" s="1254"/>
      <c r="I171" s="14"/>
    </row>
    <row r="172" spans="1:9" s="53" customFormat="1" ht="26.25" customHeight="1">
      <c r="A172" s="13"/>
      <c r="B172" s="13"/>
      <c r="C172" s="54"/>
      <c r="D172" s="1254" t="s">
        <v>204</v>
      </c>
      <c r="E172" s="1254"/>
      <c r="F172" s="1254"/>
      <c r="G172" s="1254"/>
      <c r="H172" s="1254"/>
      <c r="I172" s="14"/>
    </row>
    <row r="173" spans="1:9" s="53" customFormat="1">
      <c r="A173" s="13"/>
      <c r="B173" s="13"/>
      <c r="C173" s="54"/>
      <c r="D173" s="1254" t="s">
        <v>205</v>
      </c>
      <c r="E173" s="1254"/>
      <c r="F173" s="1254"/>
      <c r="G173" s="1254"/>
      <c r="H173" s="1254"/>
      <c r="I173" s="14"/>
    </row>
    <row r="174" spans="1:9" s="53" customFormat="1" ht="40.5" customHeight="1">
      <c r="A174" s="13"/>
      <c r="B174" s="13"/>
      <c r="C174" s="54"/>
      <c r="D174" s="1254" t="s">
        <v>206</v>
      </c>
      <c r="E174" s="1254"/>
      <c r="F174" s="1254"/>
      <c r="G174" s="1254"/>
      <c r="H174" s="1254"/>
      <c r="I174" s="14"/>
    </row>
    <row r="175" spans="1:9" s="53" customFormat="1" ht="13.5" customHeight="1">
      <c r="A175" s="13"/>
      <c r="B175" s="13"/>
      <c r="C175" s="54"/>
      <c r="D175" s="1254" t="s">
        <v>207</v>
      </c>
      <c r="E175" s="1254"/>
      <c r="F175" s="1254"/>
      <c r="G175" s="1254"/>
      <c r="H175" s="1254"/>
      <c r="I175" s="14"/>
    </row>
    <row r="176" spans="1:9" s="53" customFormat="1" ht="39.75" customHeight="1">
      <c r="A176" s="13"/>
      <c r="B176" s="13"/>
      <c r="C176" s="54"/>
      <c r="D176" s="1254" t="s">
        <v>216</v>
      </c>
      <c r="E176" s="1254"/>
      <c r="F176" s="1254"/>
      <c r="G176" s="1254"/>
      <c r="H176" s="1254"/>
      <c r="I176" s="14"/>
    </row>
    <row r="177" spans="1:9" s="53" customFormat="1" ht="39.75" customHeight="1">
      <c r="A177" s="13"/>
      <c r="B177" s="13"/>
      <c r="C177" s="54"/>
      <c r="D177" s="1254" t="s">
        <v>208</v>
      </c>
      <c r="E177" s="1254"/>
      <c r="F177" s="1254"/>
      <c r="G177" s="1254"/>
      <c r="H177" s="1254"/>
      <c r="I177" s="14"/>
    </row>
    <row r="178" spans="1:9" s="53" customFormat="1" ht="13.5" customHeight="1">
      <c r="A178" s="13"/>
      <c r="B178" s="13"/>
      <c r="C178" s="54"/>
      <c r="D178" s="1254" t="s">
        <v>209</v>
      </c>
      <c r="E178" s="1254"/>
      <c r="F178" s="1254"/>
      <c r="G178" s="1254"/>
      <c r="H178" s="1254"/>
      <c r="I178" s="14"/>
    </row>
    <row r="179" spans="1:9" s="53" customFormat="1">
      <c r="A179" s="13"/>
      <c r="B179" s="13"/>
      <c r="C179" s="54"/>
      <c r="D179" s="1254" t="s">
        <v>210</v>
      </c>
      <c r="E179" s="1254"/>
      <c r="F179" s="1254"/>
      <c r="G179" s="1254"/>
      <c r="H179" s="1254"/>
      <c r="I179" s="14"/>
    </row>
    <row r="180" spans="1:9" s="53" customFormat="1" ht="65.25" customHeight="1">
      <c r="A180" s="13"/>
      <c r="B180" s="13"/>
      <c r="C180" s="54"/>
      <c r="D180" s="1254" t="s">
        <v>211</v>
      </c>
      <c r="E180" s="1254"/>
      <c r="F180" s="1254"/>
      <c r="G180" s="1254"/>
      <c r="H180" s="1254"/>
      <c r="I180" s="14"/>
    </row>
    <row r="181" spans="1:9" s="53" customFormat="1" ht="26.25" customHeight="1">
      <c r="A181" s="13"/>
      <c r="B181" s="13"/>
      <c r="C181" s="54"/>
      <c r="D181" s="1254" t="s">
        <v>212</v>
      </c>
      <c r="E181" s="1254"/>
      <c r="F181" s="1254"/>
      <c r="G181" s="1254"/>
      <c r="H181" s="1254"/>
      <c r="I181" s="14"/>
    </row>
    <row r="182" spans="1:9" s="53" customFormat="1" ht="51.75" customHeight="1">
      <c r="A182" s="13"/>
      <c r="B182" s="13"/>
      <c r="C182" s="54"/>
      <c r="D182" s="1254" t="s">
        <v>213</v>
      </c>
      <c r="E182" s="1254"/>
      <c r="F182" s="1254"/>
      <c r="G182" s="1254"/>
      <c r="H182" s="1254"/>
      <c r="I182" s="14"/>
    </row>
    <row r="183" spans="1:9" s="53" customFormat="1" ht="39.75" customHeight="1">
      <c r="A183" s="13"/>
      <c r="B183" s="13"/>
      <c r="C183" s="54"/>
      <c r="D183" s="1254" t="s">
        <v>214</v>
      </c>
      <c r="E183" s="1254"/>
      <c r="F183" s="1254"/>
      <c r="G183" s="1254"/>
      <c r="H183" s="1254"/>
      <c r="I183" s="14"/>
    </row>
    <row r="184" spans="1:9" s="53" customFormat="1">
      <c r="A184" s="13"/>
      <c r="B184" s="13"/>
      <c r="C184" s="54"/>
      <c r="D184" s="1254" t="s">
        <v>217</v>
      </c>
      <c r="E184" s="1254"/>
      <c r="F184" s="1254"/>
      <c r="G184" s="1254"/>
      <c r="H184" s="1254"/>
      <c r="I184" s="14"/>
    </row>
    <row r="185" spans="1:9" s="53" customFormat="1" ht="12.75" customHeight="1">
      <c r="A185" s="13"/>
      <c r="B185" s="13"/>
      <c r="C185" s="54"/>
      <c r="D185" s="1254" t="s">
        <v>224</v>
      </c>
      <c r="E185" s="1254"/>
      <c r="F185" s="1254"/>
      <c r="G185" s="1254"/>
      <c r="H185" s="1254"/>
      <c r="I185" s="14"/>
    </row>
    <row r="186" spans="1:9" s="53" customFormat="1">
      <c r="A186" s="13"/>
      <c r="B186" s="13"/>
      <c r="C186" s="54"/>
      <c r="D186" s="1254" t="s">
        <v>218</v>
      </c>
      <c r="E186" s="1254"/>
      <c r="F186" s="1254"/>
      <c r="G186" s="1254"/>
      <c r="H186" s="1254"/>
      <c r="I186" s="14"/>
    </row>
    <row r="187" spans="1:9" s="53" customFormat="1" ht="13.5" customHeight="1">
      <c r="A187" s="13"/>
      <c r="B187" s="13"/>
      <c r="C187" s="54"/>
      <c r="D187" s="1254" t="s">
        <v>219</v>
      </c>
      <c r="E187" s="1254"/>
      <c r="F187" s="1254"/>
      <c r="G187" s="1254"/>
      <c r="H187" s="1254"/>
      <c r="I187" s="14"/>
    </row>
    <row r="188" spans="1:9" s="53" customFormat="1" ht="66" customHeight="1">
      <c r="A188" s="13"/>
      <c r="B188" s="13"/>
      <c r="C188" s="54"/>
      <c r="D188" s="1254" t="s">
        <v>220</v>
      </c>
      <c r="E188" s="1254"/>
      <c r="F188" s="1254"/>
      <c r="G188" s="1254"/>
      <c r="H188" s="1254"/>
      <c r="I188" s="14"/>
    </row>
    <row r="189" spans="1:9" s="53" customFormat="1" ht="13.9" customHeight="1">
      <c r="A189" s="13"/>
      <c r="B189" s="13"/>
      <c r="C189" s="54"/>
      <c r="D189" s="1254" t="s">
        <v>225</v>
      </c>
      <c r="E189" s="1254"/>
      <c r="F189" s="1254"/>
      <c r="G189" s="1254"/>
      <c r="H189" s="1254"/>
      <c r="I189" s="14"/>
    </row>
    <row r="190" spans="1:9" s="53" customFormat="1" ht="39.75" customHeight="1">
      <c r="A190" s="13"/>
      <c r="B190" s="13"/>
      <c r="C190" s="54"/>
      <c r="D190" s="1254" t="s">
        <v>221</v>
      </c>
      <c r="E190" s="1254"/>
      <c r="F190" s="1254"/>
      <c r="G190" s="1254"/>
      <c r="H190" s="1254"/>
      <c r="I190" s="14"/>
    </row>
    <row r="191" spans="1:9" s="53" customFormat="1" ht="27" customHeight="1">
      <c r="A191" s="13"/>
      <c r="B191" s="13"/>
      <c r="C191" s="54"/>
      <c r="D191" s="1254" t="s">
        <v>222</v>
      </c>
      <c r="E191" s="1254"/>
      <c r="F191" s="1254"/>
      <c r="G191" s="1254"/>
      <c r="H191" s="1254"/>
      <c r="I191" s="14"/>
    </row>
    <row r="192" spans="1:9" s="53" customFormat="1" ht="39.75" customHeight="1">
      <c r="A192" s="13"/>
      <c r="B192" s="13"/>
      <c r="C192" s="54"/>
      <c r="D192" s="1254" t="s">
        <v>223</v>
      </c>
      <c r="E192" s="1254"/>
      <c r="F192" s="1254"/>
      <c r="G192" s="1254"/>
      <c r="H192" s="1254"/>
      <c r="I192" s="14"/>
    </row>
    <row r="193" spans="1:9" s="53" customFormat="1">
      <c r="A193" s="13"/>
      <c r="B193" s="13"/>
      <c r="C193" s="54"/>
      <c r="D193" s="1254" t="s">
        <v>227</v>
      </c>
      <c r="E193" s="1254"/>
      <c r="F193" s="1254"/>
      <c r="G193" s="1254"/>
      <c r="H193" s="1254"/>
      <c r="I193" s="14"/>
    </row>
    <row r="194" spans="1:9" s="53" customFormat="1" ht="27.75" customHeight="1">
      <c r="A194" s="13"/>
      <c r="B194" s="13"/>
      <c r="C194" s="54"/>
      <c r="D194" s="1254" t="s">
        <v>228</v>
      </c>
      <c r="E194" s="1254"/>
      <c r="F194" s="1254"/>
      <c r="G194" s="1254"/>
      <c r="H194" s="1254"/>
      <c r="I194" s="14"/>
    </row>
    <row r="195" spans="1:9" s="53" customFormat="1" ht="39.75" customHeight="1">
      <c r="A195" s="13"/>
      <c r="B195" s="13"/>
      <c r="C195" s="54"/>
      <c r="D195" s="1254" t="s">
        <v>229</v>
      </c>
      <c r="E195" s="1254"/>
      <c r="F195" s="1254"/>
      <c r="G195" s="1254"/>
      <c r="H195" s="1254"/>
      <c r="I195" s="14"/>
    </row>
    <row r="196" spans="1:9" s="53" customFormat="1" ht="39.75" customHeight="1">
      <c r="A196" s="13"/>
      <c r="B196" s="13"/>
      <c r="C196" s="54"/>
      <c r="D196" s="1254" t="s">
        <v>230</v>
      </c>
      <c r="E196" s="1254"/>
      <c r="F196" s="1254"/>
      <c r="G196" s="1254"/>
      <c r="H196" s="1254"/>
      <c r="I196" s="14"/>
    </row>
    <row r="197" spans="1:9" s="53" customFormat="1" ht="39.75" customHeight="1">
      <c r="A197" s="13"/>
      <c r="B197" s="13"/>
      <c r="C197" s="54"/>
      <c r="D197" s="1254" t="s">
        <v>231</v>
      </c>
      <c r="E197" s="1254"/>
      <c r="F197" s="1254"/>
      <c r="G197" s="1254"/>
      <c r="H197" s="1254"/>
      <c r="I197" s="14"/>
    </row>
    <row r="198" spans="1:9" s="53" customFormat="1" ht="26.25" customHeight="1">
      <c r="A198" s="13"/>
      <c r="B198" s="13"/>
      <c r="C198" s="54"/>
      <c r="D198" s="1254" t="s">
        <v>232</v>
      </c>
      <c r="E198" s="1254"/>
      <c r="F198" s="1254"/>
      <c r="G198" s="1254"/>
      <c r="H198" s="1254"/>
      <c r="I198" s="14"/>
    </row>
    <row r="199" spans="1:9" s="53" customFormat="1" ht="28.5" customHeight="1">
      <c r="A199" s="13"/>
      <c r="B199" s="13"/>
      <c r="C199" s="54"/>
      <c r="D199" s="1254" t="s">
        <v>233</v>
      </c>
      <c r="E199" s="1254"/>
      <c r="F199" s="1254"/>
      <c r="G199" s="1254"/>
      <c r="H199" s="1254"/>
      <c r="I199" s="14"/>
    </row>
    <row r="200" spans="1:9" s="53" customFormat="1" ht="37.5" customHeight="1">
      <c r="A200" s="13"/>
      <c r="B200" s="13"/>
      <c r="C200" s="54"/>
      <c r="D200" s="1254" t="s">
        <v>234</v>
      </c>
      <c r="E200" s="1254"/>
      <c r="F200" s="1254"/>
      <c r="G200" s="1254"/>
      <c r="H200" s="1254"/>
      <c r="I200" s="14"/>
    </row>
    <row r="201" spans="1:9" s="53" customFormat="1" ht="32.25" customHeight="1">
      <c r="A201" s="13"/>
      <c r="B201" s="13"/>
      <c r="C201" s="54"/>
      <c r="D201" s="1254" t="s">
        <v>235</v>
      </c>
      <c r="E201" s="1254"/>
      <c r="F201" s="1254"/>
      <c r="G201" s="1254"/>
      <c r="H201" s="1254"/>
      <c r="I201" s="14"/>
    </row>
    <row r="202" spans="1:9" s="53" customFormat="1" ht="36.75" customHeight="1">
      <c r="A202" s="13"/>
      <c r="B202" s="13"/>
      <c r="C202" s="54"/>
      <c r="D202" s="1254" t="s">
        <v>236</v>
      </c>
      <c r="E202" s="1254"/>
      <c r="F202" s="1254"/>
      <c r="G202" s="1254"/>
      <c r="H202" s="1254"/>
      <c r="I202" s="14"/>
    </row>
    <row r="203" spans="1:9" s="53" customFormat="1" ht="39.75" customHeight="1">
      <c r="A203" s="13"/>
      <c r="B203" s="13"/>
      <c r="C203" s="54"/>
      <c r="D203" s="1254" t="s">
        <v>237</v>
      </c>
      <c r="E203" s="1254"/>
      <c r="F203" s="1254"/>
      <c r="G203" s="1254"/>
      <c r="H203" s="1254"/>
      <c r="I203" s="14"/>
    </row>
    <row r="204" spans="1:9" s="53" customFormat="1" ht="39.75" customHeight="1">
      <c r="A204" s="13"/>
      <c r="B204" s="13"/>
      <c r="C204" s="54"/>
      <c r="D204" s="1254" t="s">
        <v>238</v>
      </c>
      <c r="E204" s="1254"/>
      <c r="F204" s="1254"/>
      <c r="G204" s="1254"/>
      <c r="H204" s="1254"/>
      <c r="I204" s="14"/>
    </row>
    <row r="205" spans="1:9" s="53" customFormat="1" ht="39.75" customHeight="1">
      <c r="A205" s="13"/>
      <c r="B205" s="13"/>
      <c r="C205" s="54"/>
      <c r="D205" s="1254" t="s">
        <v>239</v>
      </c>
      <c r="E205" s="1254"/>
      <c r="F205" s="1254"/>
      <c r="G205" s="1254"/>
      <c r="H205" s="1254"/>
      <c r="I205" s="14"/>
    </row>
    <row r="206" spans="1:9" s="53" customFormat="1">
      <c r="A206" s="13"/>
      <c r="B206" s="13"/>
      <c r="C206" s="54"/>
      <c r="D206" s="1254" t="s">
        <v>226</v>
      </c>
      <c r="E206" s="1254"/>
      <c r="F206" s="1254"/>
      <c r="G206" s="1254"/>
      <c r="H206" s="1254"/>
      <c r="I206" s="14"/>
    </row>
    <row r="207" spans="1:9" s="53" customFormat="1" ht="94.9" customHeight="1">
      <c r="A207" s="13"/>
      <c r="B207" s="13"/>
      <c r="C207" s="54"/>
      <c r="D207" s="1254" t="s">
        <v>215</v>
      </c>
      <c r="E207" s="1254"/>
      <c r="F207" s="1254"/>
      <c r="G207" s="1254"/>
      <c r="H207" s="1254"/>
      <c r="I207" s="14"/>
    </row>
    <row r="208" spans="1:9" s="53" customFormat="1">
      <c r="A208" s="13"/>
      <c r="B208" s="13"/>
      <c r="C208" s="54"/>
      <c r="D208" s="1261"/>
      <c r="E208" s="1261"/>
      <c r="F208" s="1261"/>
      <c r="G208" s="1261"/>
      <c r="H208" s="1261"/>
      <c r="I208" s="14"/>
    </row>
    <row r="209" spans="1:9" s="53" customFormat="1">
      <c r="A209" s="13"/>
      <c r="B209" s="13"/>
      <c r="C209" s="54"/>
      <c r="D209" s="1255" t="s">
        <v>240</v>
      </c>
      <c r="E209" s="1255"/>
      <c r="F209" s="1255"/>
      <c r="G209" s="1255"/>
      <c r="H209" s="1255"/>
      <c r="I209" s="14"/>
    </row>
    <row r="210" spans="1:9" s="53" customFormat="1" ht="39" customHeight="1">
      <c r="A210" s="13"/>
      <c r="B210" s="13"/>
      <c r="C210" s="54"/>
      <c r="D210" s="1254" t="s">
        <v>241</v>
      </c>
      <c r="E210" s="1254"/>
      <c r="F210" s="1254"/>
      <c r="G210" s="1254"/>
      <c r="H210" s="1254"/>
      <c r="I210" s="14"/>
    </row>
    <row r="211" spans="1:9" s="53" customFormat="1" ht="24.75" customHeight="1">
      <c r="A211" s="13"/>
      <c r="B211" s="13"/>
      <c r="C211" s="54"/>
      <c r="D211" s="1254" t="s">
        <v>242</v>
      </c>
      <c r="E211" s="1254"/>
      <c r="F211" s="1254"/>
      <c r="G211" s="1254"/>
      <c r="H211" s="1254"/>
      <c r="I211" s="14"/>
    </row>
    <row r="212" spans="1:9" s="53" customFormat="1" ht="42.75" customHeight="1">
      <c r="A212" s="13"/>
      <c r="B212" s="13"/>
      <c r="C212" s="54"/>
      <c r="D212" s="1254" t="s">
        <v>254</v>
      </c>
      <c r="E212" s="1254"/>
      <c r="F212" s="1254"/>
      <c r="G212" s="1254"/>
      <c r="H212" s="1254"/>
      <c r="I212" s="14"/>
    </row>
    <row r="213" spans="1:9" s="53" customFormat="1" ht="40.5" customHeight="1">
      <c r="A213" s="13"/>
      <c r="B213" s="13"/>
      <c r="C213" s="54"/>
      <c r="D213" s="1254" t="s">
        <v>256</v>
      </c>
      <c r="E213" s="1254"/>
      <c r="F213" s="1254"/>
      <c r="G213" s="1254"/>
      <c r="H213" s="1254"/>
      <c r="I213" s="14"/>
    </row>
    <row r="214" spans="1:9" s="53" customFormat="1" ht="41.25" customHeight="1">
      <c r="A214" s="13"/>
      <c r="B214" s="13"/>
      <c r="C214" s="54"/>
      <c r="D214" s="1254" t="s">
        <v>243</v>
      </c>
      <c r="E214" s="1254"/>
      <c r="F214" s="1254"/>
      <c r="G214" s="1254"/>
      <c r="H214" s="1254"/>
      <c r="I214" s="14"/>
    </row>
    <row r="215" spans="1:9" s="53" customFormat="1" ht="12.75" customHeight="1">
      <c r="A215" s="13"/>
      <c r="B215" s="13"/>
      <c r="C215" s="54"/>
      <c r="D215" s="1254" t="s">
        <v>244</v>
      </c>
      <c r="E215" s="1254"/>
      <c r="F215" s="1254"/>
      <c r="G215" s="1254"/>
      <c r="H215" s="1254"/>
      <c r="I215" s="14"/>
    </row>
    <row r="216" spans="1:9" s="53" customFormat="1" ht="92.25" customHeight="1">
      <c r="A216" s="13"/>
      <c r="B216" s="13"/>
      <c r="C216" s="54"/>
      <c r="D216" s="1254" t="s">
        <v>245</v>
      </c>
      <c r="E216" s="1254"/>
      <c r="F216" s="1254"/>
      <c r="G216" s="1254"/>
      <c r="H216" s="1254"/>
      <c r="I216" s="14"/>
    </row>
    <row r="217" spans="1:9" s="53" customFormat="1" ht="38.25" customHeight="1">
      <c r="A217" s="13"/>
      <c r="B217" s="13"/>
      <c r="C217" s="54"/>
      <c r="D217" s="1254" t="s">
        <v>246</v>
      </c>
      <c r="E217" s="1254"/>
      <c r="F217" s="1254"/>
      <c r="G217" s="1254"/>
      <c r="H217" s="1254"/>
      <c r="I217" s="14"/>
    </row>
    <row r="218" spans="1:9" s="53" customFormat="1" ht="39.75" customHeight="1">
      <c r="A218" s="13"/>
      <c r="B218" s="13"/>
      <c r="C218" s="54"/>
      <c r="D218" s="1254" t="s">
        <v>247</v>
      </c>
      <c r="E218" s="1254"/>
      <c r="F218" s="1254"/>
      <c r="G218" s="1254"/>
      <c r="H218" s="1254"/>
      <c r="I218" s="14"/>
    </row>
    <row r="219" spans="1:9" s="53" customFormat="1" ht="26.25" customHeight="1">
      <c r="A219" s="13"/>
      <c r="B219" s="13"/>
      <c r="C219" s="54"/>
      <c r="D219" s="1254" t="s">
        <v>248</v>
      </c>
      <c r="E219" s="1254"/>
      <c r="F219" s="1254"/>
      <c r="G219" s="1254"/>
      <c r="H219" s="1254"/>
      <c r="I219" s="14"/>
    </row>
    <row r="220" spans="1:9" s="53" customFormat="1" ht="39" customHeight="1">
      <c r="A220" s="13"/>
      <c r="B220" s="13"/>
      <c r="C220" s="54"/>
      <c r="D220" s="1254" t="s">
        <v>249</v>
      </c>
      <c r="E220" s="1254"/>
      <c r="F220" s="1254"/>
      <c r="G220" s="1254"/>
      <c r="H220" s="1254"/>
      <c r="I220" s="14"/>
    </row>
    <row r="221" spans="1:9" s="53" customFormat="1" ht="55.5" customHeight="1">
      <c r="A221" s="13"/>
      <c r="B221" s="13"/>
      <c r="C221" s="54"/>
      <c r="D221" s="1254" t="s">
        <v>255</v>
      </c>
      <c r="E221" s="1254"/>
      <c r="F221" s="1254"/>
      <c r="G221" s="1254"/>
      <c r="H221" s="1254"/>
      <c r="I221" s="14"/>
    </row>
    <row r="222" spans="1:9" s="53" customFormat="1" ht="40.5" customHeight="1">
      <c r="A222" s="13"/>
      <c r="B222" s="13"/>
      <c r="C222" s="54"/>
      <c r="D222" s="1254" t="s">
        <v>250</v>
      </c>
      <c r="E222" s="1254"/>
      <c r="F222" s="1254"/>
      <c r="G222" s="1254"/>
      <c r="H222" s="1254"/>
      <c r="I222" s="14"/>
    </row>
    <row r="223" spans="1:9" s="53" customFormat="1" ht="26.25" customHeight="1">
      <c r="A223" s="13"/>
      <c r="B223" s="13"/>
      <c r="C223" s="54"/>
      <c r="D223" s="1254" t="s">
        <v>251</v>
      </c>
      <c r="E223" s="1254"/>
      <c r="F223" s="1254"/>
      <c r="G223" s="1254"/>
      <c r="H223" s="1254"/>
      <c r="I223" s="14"/>
    </row>
    <row r="224" spans="1:9" s="53" customFormat="1" ht="51.75" customHeight="1">
      <c r="A224" s="13"/>
      <c r="B224" s="13"/>
      <c r="C224" s="54"/>
      <c r="D224" s="1254" t="s">
        <v>252</v>
      </c>
      <c r="E224" s="1254"/>
      <c r="F224" s="1254"/>
      <c r="G224" s="1254"/>
      <c r="H224" s="1254"/>
      <c r="I224" s="14"/>
    </row>
    <row r="225" spans="1:9" s="53" customFormat="1" ht="40.5" customHeight="1">
      <c r="A225" s="13"/>
      <c r="B225" s="13"/>
      <c r="C225" s="54"/>
      <c r="D225" s="1254" t="s">
        <v>253</v>
      </c>
      <c r="E225" s="1254"/>
      <c r="F225" s="1254"/>
      <c r="G225" s="1254"/>
      <c r="H225" s="1254"/>
      <c r="I225" s="14"/>
    </row>
    <row r="226" spans="1:9" s="53" customFormat="1">
      <c r="A226" s="13"/>
      <c r="B226" s="13"/>
      <c r="C226" s="54"/>
      <c r="D226" s="1261"/>
      <c r="E226" s="1261"/>
      <c r="F226" s="1261"/>
      <c r="G226" s="1261"/>
      <c r="H226" s="1261"/>
      <c r="I226" s="14"/>
    </row>
    <row r="227" spans="1:9" s="53" customFormat="1">
      <c r="A227" s="13"/>
      <c r="B227" s="13"/>
      <c r="C227" s="54"/>
      <c r="D227" s="1255" t="s">
        <v>240</v>
      </c>
      <c r="E227" s="1255"/>
      <c r="F227" s="1255"/>
      <c r="G227" s="1255"/>
      <c r="H227" s="1255"/>
      <c r="I227" s="14"/>
    </row>
    <row r="228" spans="1:9" s="53" customFormat="1" ht="13.9" customHeight="1">
      <c r="A228" s="13"/>
      <c r="B228" s="13"/>
      <c r="C228" s="54"/>
      <c r="D228" s="1254" t="s">
        <v>257</v>
      </c>
      <c r="E228" s="1254"/>
      <c r="F228" s="1254"/>
      <c r="G228" s="1254"/>
      <c r="H228" s="1254"/>
      <c r="I228" s="14"/>
    </row>
    <row r="229" spans="1:9" s="53" customFormat="1">
      <c r="A229" s="13"/>
      <c r="B229" s="13"/>
      <c r="C229" s="54"/>
      <c r="D229" s="1254" t="s">
        <v>258</v>
      </c>
      <c r="E229" s="1254"/>
      <c r="F229" s="1254"/>
      <c r="G229" s="1254"/>
      <c r="H229" s="1254"/>
      <c r="I229" s="14"/>
    </row>
    <row r="230" spans="1:9" s="53" customFormat="1" ht="13.9" customHeight="1">
      <c r="A230" s="13"/>
      <c r="B230" s="13"/>
      <c r="C230" s="54"/>
      <c r="D230" s="1254" t="s">
        <v>259</v>
      </c>
      <c r="E230" s="1254"/>
      <c r="F230" s="1254"/>
      <c r="G230" s="1254"/>
      <c r="H230" s="1254"/>
      <c r="I230" s="14"/>
    </row>
    <row r="231" spans="1:9" s="53" customFormat="1" ht="13.9" customHeight="1">
      <c r="A231" s="13"/>
      <c r="B231" s="13"/>
      <c r="C231" s="54"/>
      <c r="D231" s="1254" t="s">
        <v>260</v>
      </c>
      <c r="E231" s="1254"/>
      <c r="F231" s="1254"/>
      <c r="G231" s="1254"/>
      <c r="H231" s="1254"/>
      <c r="I231" s="14"/>
    </row>
    <row r="232" spans="1:9" s="53" customFormat="1">
      <c r="A232" s="13"/>
      <c r="B232" s="13"/>
      <c r="C232" s="54"/>
      <c r="D232" s="1254" t="s">
        <v>261</v>
      </c>
      <c r="E232" s="1254"/>
      <c r="F232" s="1254"/>
      <c r="G232" s="1254"/>
      <c r="H232" s="1254"/>
      <c r="I232" s="14"/>
    </row>
    <row r="233" spans="1:9" s="53" customFormat="1">
      <c r="A233" s="13"/>
      <c r="B233" s="13"/>
      <c r="C233" s="54"/>
      <c r="D233" s="1254" t="s">
        <v>262</v>
      </c>
      <c r="E233" s="1254"/>
      <c r="F233" s="1254"/>
      <c r="G233" s="1254"/>
      <c r="H233" s="1254"/>
      <c r="I233" s="14"/>
    </row>
    <row r="234" spans="1:9" s="53" customFormat="1" ht="13.9" customHeight="1">
      <c r="A234" s="13"/>
      <c r="B234" s="13"/>
      <c r="C234" s="54"/>
      <c r="D234" s="1254" t="s">
        <v>263</v>
      </c>
      <c r="E234" s="1254"/>
      <c r="F234" s="1254"/>
      <c r="G234" s="1254"/>
      <c r="H234" s="1254"/>
      <c r="I234" s="14"/>
    </row>
    <row r="235" spans="1:9" s="53" customFormat="1">
      <c r="A235" s="13"/>
      <c r="B235" s="13"/>
      <c r="C235" s="54"/>
      <c r="D235" s="1254" t="s">
        <v>264</v>
      </c>
      <c r="E235" s="1254"/>
      <c r="F235" s="1254"/>
      <c r="G235" s="1254"/>
      <c r="H235" s="1254"/>
      <c r="I235" s="14"/>
    </row>
    <row r="236" spans="1:9" s="53" customFormat="1" ht="13.9" customHeight="1">
      <c r="A236" s="13"/>
      <c r="B236" s="13"/>
      <c r="C236" s="54"/>
      <c r="D236" s="1254" t="s">
        <v>265</v>
      </c>
      <c r="E236" s="1254"/>
      <c r="F236" s="1254"/>
      <c r="G236" s="1254"/>
      <c r="H236" s="1254"/>
      <c r="I236" s="14"/>
    </row>
    <row r="237" spans="1:9" s="53" customFormat="1">
      <c r="A237" s="13"/>
      <c r="B237" s="13"/>
      <c r="C237" s="54"/>
      <c r="D237" s="1254" t="s">
        <v>266</v>
      </c>
      <c r="E237" s="1254"/>
      <c r="F237" s="1254"/>
      <c r="G237" s="1254"/>
      <c r="H237" s="1254"/>
      <c r="I237" s="14"/>
    </row>
    <row r="238" spans="1:9" s="53" customFormat="1" ht="25.5" customHeight="1">
      <c r="A238" s="13"/>
      <c r="B238" s="13"/>
      <c r="C238" s="54"/>
      <c r="D238" s="1254" t="s">
        <v>267</v>
      </c>
      <c r="E238" s="1254"/>
      <c r="F238" s="1254"/>
      <c r="G238" s="1254"/>
      <c r="H238" s="1254"/>
      <c r="I238" s="14"/>
    </row>
    <row r="239" spans="1:9" s="53" customFormat="1" ht="15" customHeight="1">
      <c r="A239" s="13"/>
      <c r="B239" s="13"/>
      <c r="C239" s="54"/>
      <c r="D239" s="1254" t="s">
        <v>268</v>
      </c>
      <c r="E239" s="1254"/>
      <c r="F239" s="1254"/>
      <c r="G239" s="1254"/>
      <c r="H239" s="1254"/>
      <c r="I239" s="14"/>
    </row>
    <row r="240" spans="1:9" s="53" customFormat="1" ht="25.5" customHeight="1">
      <c r="A240" s="13"/>
      <c r="B240" s="13"/>
      <c r="C240" s="54"/>
      <c r="D240" s="1254" t="s">
        <v>292</v>
      </c>
      <c r="E240" s="1254"/>
      <c r="F240" s="1254"/>
      <c r="G240" s="1254"/>
      <c r="H240" s="1254"/>
      <c r="I240" s="14"/>
    </row>
    <row r="241" spans="1:9" s="53" customFormat="1">
      <c r="A241" s="13"/>
      <c r="B241" s="13"/>
      <c r="C241" s="54"/>
      <c r="D241" s="1254" t="s">
        <v>269</v>
      </c>
      <c r="E241" s="1254"/>
      <c r="F241" s="1254"/>
      <c r="G241" s="1254"/>
      <c r="H241" s="1254"/>
      <c r="I241" s="14"/>
    </row>
    <row r="242" spans="1:9" s="53" customFormat="1">
      <c r="A242" s="13"/>
      <c r="B242" s="13"/>
      <c r="C242" s="54"/>
      <c r="D242" s="1254" t="s">
        <v>270</v>
      </c>
      <c r="E242" s="1254"/>
      <c r="F242" s="1254"/>
      <c r="G242" s="1254"/>
      <c r="H242" s="1254"/>
      <c r="I242" s="14"/>
    </row>
    <row r="243" spans="1:9" s="53" customFormat="1">
      <c r="A243" s="13"/>
      <c r="B243" s="13"/>
      <c r="C243" s="54"/>
      <c r="D243" s="1254" t="s">
        <v>271</v>
      </c>
      <c r="E243" s="1254"/>
      <c r="F243" s="1254"/>
      <c r="G243" s="1254"/>
      <c r="H243" s="1254"/>
      <c r="I243" s="14"/>
    </row>
    <row r="244" spans="1:9" s="53" customFormat="1">
      <c r="A244" s="13"/>
      <c r="B244" s="13"/>
      <c r="C244" s="54"/>
      <c r="D244" s="1254" t="s">
        <v>272</v>
      </c>
      <c r="E244" s="1254"/>
      <c r="F244" s="1254"/>
      <c r="G244" s="1254"/>
      <c r="H244" s="1254"/>
      <c r="I244" s="14"/>
    </row>
    <row r="245" spans="1:9" s="53" customFormat="1">
      <c r="A245" s="13"/>
      <c r="B245" s="13"/>
      <c r="C245" s="54"/>
      <c r="D245" s="1254" t="s">
        <v>273</v>
      </c>
      <c r="E245" s="1254"/>
      <c r="F245" s="1254"/>
      <c r="G245" s="1254"/>
      <c r="H245" s="1254"/>
      <c r="I245" s="14"/>
    </row>
    <row r="246" spans="1:9" s="53" customFormat="1">
      <c r="A246" s="13"/>
      <c r="B246" s="13"/>
      <c r="C246" s="54"/>
      <c r="D246" s="1254" t="s">
        <v>274</v>
      </c>
      <c r="E246" s="1254"/>
      <c r="F246" s="1254"/>
      <c r="G246" s="1254"/>
      <c r="H246" s="1254"/>
      <c r="I246" s="14"/>
    </row>
    <row r="247" spans="1:9" s="53" customFormat="1">
      <c r="A247" s="13"/>
      <c r="B247" s="13"/>
      <c r="C247" s="54"/>
      <c r="D247" s="1254" t="s">
        <v>275</v>
      </c>
      <c r="E247" s="1254"/>
      <c r="F247" s="1254"/>
      <c r="G247" s="1254"/>
      <c r="H247" s="1254"/>
      <c r="I247" s="14"/>
    </row>
    <row r="248" spans="1:9" s="53" customFormat="1">
      <c r="A248" s="13"/>
      <c r="B248" s="13"/>
      <c r="C248" s="54"/>
      <c r="D248" s="1254" t="s">
        <v>276</v>
      </c>
      <c r="E248" s="1254"/>
      <c r="F248" s="1254"/>
      <c r="G248" s="1254"/>
      <c r="H248" s="1254"/>
      <c r="I248" s="14"/>
    </row>
    <row r="249" spans="1:9" s="53" customFormat="1">
      <c r="A249" s="13"/>
      <c r="B249" s="13"/>
      <c r="C249" s="54"/>
      <c r="D249" s="1254" t="s">
        <v>277</v>
      </c>
      <c r="E249" s="1254"/>
      <c r="F249" s="1254"/>
      <c r="G249" s="1254"/>
      <c r="H249" s="1254"/>
      <c r="I249" s="14"/>
    </row>
    <row r="250" spans="1:9" s="53" customFormat="1">
      <c r="A250" s="13"/>
      <c r="B250" s="13"/>
      <c r="C250" s="54"/>
      <c r="D250" s="1254" t="s">
        <v>278</v>
      </c>
      <c r="E250" s="1254"/>
      <c r="F250" s="1254"/>
      <c r="G250" s="1254"/>
      <c r="H250" s="1254"/>
      <c r="I250" s="14"/>
    </row>
    <row r="251" spans="1:9" s="53" customFormat="1">
      <c r="A251" s="13"/>
      <c r="B251" s="13"/>
      <c r="C251" s="54"/>
      <c r="D251" s="1254" t="s">
        <v>279</v>
      </c>
      <c r="E251" s="1254"/>
      <c r="F251" s="1254"/>
      <c r="G251" s="1254"/>
      <c r="H251" s="1254"/>
      <c r="I251" s="14"/>
    </row>
    <row r="252" spans="1:9" s="53" customFormat="1">
      <c r="A252" s="13"/>
      <c r="B252" s="13"/>
      <c r="C252" s="54"/>
      <c r="D252" s="1254" t="s">
        <v>280</v>
      </c>
      <c r="E252" s="1254"/>
      <c r="F252" s="1254"/>
      <c r="G252" s="1254"/>
      <c r="H252" s="1254"/>
      <c r="I252" s="14"/>
    </row>
    <row r="253" spans="1:9" s="53" customFormat="1">
      <c r="A253" s="13"/>
      <c r="B253" s="13"/>
      <c r="C253" s="54"/>
      <c r="D253" s="1254" t="s">
        <v>281</v>
      </c>
      <c r="E253" s="1254"/>
      <c r="F253" s="1254"/>
      <c r="G253" s="1254"/>
      <c r="H253" s="1254"/>
      <c r="I253" s="14"/>
    </row>
    <row r="254" spans="1:9" s="53" customFormat="1">
      <c r="A254" s="13"/>
      <c r="B254" s="13"/>
      <c r="C254" s="54"/>
      <c r="D254" s="1254" t="s">
        <v>282</v>
      </c>
      <c r="E254" s="1254"/>
      <c r="F254" s="1254"/>
      <c r="G254" s="1254"/>
      <c r="H254" s="1254"/>
      <c r="I254" s="14"/>
    </row>
    <row r="255" spans="1:9" s="53" customFormat="1">
      <c r="A255" s="13"/>
      <c r="B255" s="13"/>
      <c r="C255" s="54"/>
      <c r="D255" s="1254" t="s">
        <v>283</v>
      </c>
      <c r="E255" s="1254"/>
      <c r="F255" s="1254"/>
      <c r="G255" s="1254"/>
      <c r="H255" s="1254"/>
      <c r="I255" s="14"/>
    </row>
    <row r="256" spans="1:9" s="53" customFormat="1">
      <c r="A256" s="13"/>
      <c r="B256" s="13"/>
      <c r="C256" s="54"/>
      <c r="D256" s="1254" t="s">
        <v>284</v>
      </c>
      <c r="E256" s="1254"/>
      <c r="F256" s="1254"/>
      <c r="G256" s="1254"/>
      <c r="H256" s="1254"/>
      <c r="I256" s="14"/>
    </row>
    <row r="257" spans="1:9" s="53" customFormat="1">
      <c r="A257" s="13"/>
      <c r="B257" s="13"/>
      <c r="C257" s="54"/>
      <c r="D257" s="1254" t="s">
        <v>285</v>
      </c>
      <c r="E257" s="1254"/>
      <c r="F257" s="1254"/>
      <c r="G257" s="1254"/>
      <c r="H257" s="1254"/>
      <c r="I257" s="14"/>
    </row>
    <row r="258" spans="1:9" s="53" customFormat="1">
      <c r="A258" s="13"/>
      <c r="B258" s="13"/>
      <c r="C258" s="54"/>
      <c r="D258" s="1254" t="s">
        <v>286</v>
      </c>
      <c r="E258" s="1254"/>
      <c r="F258" s="1254"/>
      <c r="G258" s="1254"/>
      <c r="H258" s="1254"/>
      <c r="I258" s="14"/>
    </row>
    <row r="259" spans="1:9" s="53" customFormat="1">
      <c r="A259" s="13"/>
      <c r="B259" s="13"/>
      <c r="C259" s="54"/>
      <c r="D259" s="1254" t="s">
        <v>287</v>
      </c>
      <c r="E259" s="1254"/>
      <c r="F259" s="1254"/>
      <c r="G259" s="1254"/>
      <c r="H259" s="1254"/>
      <c r="I259" s="14"/>
    </row>
    <row r="260" spans="1:9" s="53" customFormat="1" ht="13.9" customHeight="1">
      <c r="A260" s="13"/>
      <c r="B260" s="13"/>
      <c r="C260" s="54"/>
      <c r="D260" s="1254" t="s">
        <v>288</v>
      </c>
      <c r="E260" s="1254"/>
      <c r="F260" s="1254"/>
      <c r="G260" s="1254"/>
      <c r="H260" s="1254"/>
      <c r="I260" s="14"/>
    </row>
    <row r="261" spans="1:9" s="53" customFormat="1">
      <c r="A261" s="13"/>
      <c r="B261" s="13"/>
      <c r="C261" s="54"/>
      <c r="D261" s="1254" t="s">
        <v>289</v>
      </c>
      <c r="E261" s="1254"/>
      <c r="F261" s="1254"/>
      <c r="G261" s="1254"/>
      <c r="H261" s="1254"/>
      <c r="I261" s="14"/>
    </row>
    <row r="262" spans="1:9" s="53" customFormat="1">
      <c r="A262" s="13"/>
      <c r="B262" s="13"/>
      <c r="C262" s="54"/>
      <c r="D262" s="1254" t="s">
        <v>290</v>
      </c>
      <c r="E262" s="1254"/>
      <c r="F262" s="1254"/>
      <c r="G262" s="1254"/>
      <c r="H262" s="1254"/>
      <c r="I262" s="14"/>
    </row>
    <row r="263" spans="1:9" s="53" customFormat="1" ht="25.5" customHeight="1">
      <c r="A263" s="13"/>
      <c r="B263" s="13"/>
      <c r="C263" s="54"/>
      <c r="D263" s="1254" t="s">
        <v>291</v>
      </c>
      <c r="E263" s="1254"/>
      <c r="F263" s="1254"/>
      <c r="G263" s="1254"/>
      <c r="H263" s="1254"/>
      <c r="I263" s="14"/>
    </row>
    <row r="264" spans="1:9" s="53" customFormat="1">
      <c r="A264" s="13"/>
      <c r="B264" s="13"/>
      <c r="C264" s="54"/>
      <c r="D264" s="72"/>
      <c r="E264" s="73"/>
      <c r="F264" s="74"/>
      <c r="G264" s="75"/>
      <c r="H264" s="75"/>
      <c r="I264" s="14"/>
    </row>
    <row r="265" spans="1:9" s="53" customFormat="1">
      <c r="A265" s="13"/>
      <c r="B265" s="13"/>
      <c r="C265" s="54"/>
      <c r="D265" s="1255" t="s">
        <v>322</v>
      </c>
      <c r="E265" s="1255"/>
      <c r="F265" s="1255"/>
      <c r="G265" s="1255"/>
      <c r="H265" s="1255"/>
      <c r="I265" s="14"/>
    </row>
    <row r="266" spans="1:9" s="53" customFormat="1" ht="27" customHeight="1">
      <c r="A266" s="13"/>
      <c r="B266" s="13"/>
      <c r="C266" s="54"/>
      <c r="D266" s="1254" t="s">
        <v>313</v>
      </c>
      <c r="E266" s="1254"/>
      <c r="F266" s="1254"/>
      <c r="G266" s="1254"/>
      <c r="H266" s="1254"/>
      <c r="I266" s="14"/>
    </row>
    <row r="267" spans="1:9" s="53" customFormat="1" ht="25.5" customHeight="1">
      <c r="A267" s="13"/>
      <c r="B267" s="13"/>
      <c r="C267" s="54"/>
      <c r="D267" s="1254" t="s">
        <v>293</v>
      </c>
      <c r="E267" s="1254"/>
      <c r="F267" s="1254"/>
      <c r="G267" s="1254"/>
      <c r="H267" s="1254"/>
      <c r="I267" s="14"/>
    </row>
    <row r="268" spans="1:9" s="53" customFormat="1" ht="27.75" customHeight="1">
      <c r="A268" s="13"/>
      <c r="B268" s="13"/>
      <c r="C268" s="54"/>
      <c r="D268" s="1254" t="s">
        <v>294</v>
      </c>
      <c r="E268" s="1254"/>
      <c r="F268" s="1254"/>
      <c r="G268" s="1254"/>
      <c r="H268" s="1254"/>
      <c r="I268" s="14"/>
    </row>
    <row r="269" spans="1:9" s="53" customFormat="1" ht="27" customHeight="1">
      <c r="A269" s="13"/>
      <c r="B269" s="13"/>
      <c r="C269" s="54"/>
      <c r="D269" s="1254" t="s">
        <v>295</v>
      </c>
      <c r="E269" s="1254"/>
      <c r="F269" s="1254"/>
      <c r="G269" s="1254"/>
      <c r="H269" s="1254"/>
      <c r="I269" s="14"/>
    </row>
    <row r="270" spans="1:9" s="53" customFormat="1" ht="118.5" customHeight="1">
      <c r="A270" s="13"/>
      <c r="B270" s="13"/>
      <c r="C270" s="54"/>
      <c r="D270" s="1254" t="s">
        <v>296</v>
      </c>
      <c r="E270" s="1254"/>
      <c r="F270" s="1254"/>
      <c r="G270" s="1254"/>
      <c r="H270" s="1254"/>
      <c r="I270" s="14"/>
    </row>
    <row r="271" spans="1:9" s="53" customFormat="1" ht="13.9" customHeight="1">
      <c r="A271" s="13"/>
      <c r="B271" s="13"/>
      <c r="C271" s="54"/>
      <c r="D271" s="1254" t="s">
        <v>297</v>
      </c>
      <c r="E271" s="1254"/>
      <c r="F271" s="1254"/>
      <c r="G271" s="1254"/>
      <c r="H271" s="1254"/>
      <c r="I271" s="14"/>
    </row>
    <row r="272" spans="1:9" s="53" customFormat="1" ht="26.25" customHeight="1">
      <c r="A272" s="13"/>
      <c r="B272" s="13"/>
      <c r="C272" s="54"/>
      <c r="D272" s="1254" t="s">
        <v>298</v>
      </c>
      <c r="E272" s="1254"/>
      <c r="F272" s="1254"/>
      <c r="G272" s="1254"/>
      <c r="H272" s="1254"/>
      <c r="I272" s="14"/>
    </row>
    <row r="273" spans="1:9" s="53" customFormat="1" ht="26.25" customHeight="1">
      <c r="A273" s="13"/>
      <c r="B273" s="13"/>
      <c r="C273" s="54"/>
      <c r="D273" s="1254" t="s">
        <v>299</v>
      </c>
      <c r="E273" s="1254"/>
      <c r="F273" s="1254"/>
      <c r="G273" s="1254"/>
      <c r="H273" s="1254"/>
      <c r="I273" s="14"/>
    </row>
    <row r="274" spans="1:9" s="53" customFormat="1" ht="39.75" customHeight="1">
      <c r="A274" s="13"/>
      <c r="B274" s="13"/>
      <c r="C274" s="54"/>
      <c r="D274" s="1254" t="s">
        <v>300</v>
      </c>
      <c r="E274" s="1254"/>
      <c r="F274" s="1254"/>
      <c r="G274" s="1254"/>
      <c r="H274" s="1254"/>
      <c r="I274" s="14"/>
    </row>
    <row r="275" spans="1:9" s="53" customFormat="1">
      <c r="A275" s="13"/>
      <c r="B275" s="13"/>
      <c r="C275" s="54"/>
      <c r="D275" s="1254" t="s">
        <v>314</v>
      </c>
      <c r="E275" s="1254"/>
      <c r="F275" s="1254"/>
      <c r="G275" s="1254"/>
      <c r="H275" s="1254"/>
      <c r="I275" s="14"/>
    </row>
    <row r="276" spans="1:9" s="53" customFormat="1" ht="13.9" customHeight="1">
      <c r="A276" s="13"/>
      <c r="B276" s="13"/>
      <c r="C276" s="54"/>
      <c r="D276" s="1254" t="s">
        <v>301</v>
      </c>
      <c r="E276" s="1254"/>
      <c r="F276" s="1254"/>
      <c r="G276" s="1254"/>
      <c r="H276" s="1254"/>
      <c r="I276" s="14"/>
    </row>
    <row r="277" spans="1:9" s="53" customFormat="1" ht="25.5" customHeight="1">
      <c r="A277" s="13"/>
      <c r="B277" s="13"/>
      <c r="C277" s="54"/>
      <c r="D277" s="1254" t="s">
        <v>302</v>
      </c>
      <c r="E277" s="1254"/>
      <c r="F277" s="1254"/>
      <c r="G277" s="1254"/>
      <c r="H277" s="1254"/>
      <c r="I277" s="14"/>
    </row>
    <row r="278" spans="1:9" s="53" customFormat="1">
      <c r="A278" s="13"/>
      <c r="B278" s="13"/>
      <c r="C278" s="54"/>
      <c r="D278" s="1254" t="s">
        <v>315</v>
      </c>
      <c r="E278" s="1254"/>
      <c r="F278" s="1254"/>
      <c r="G278" s="1254"/>
      <c r="H278" s="1254"/>
      <c r="I278" s="14"/>
    </row>
    <row r="279" spans="1:9" s="53" customFormat="1">
      <c r="A279" s="13"/>
      <c r="B279" s="13"/>
      <c r="C279" s="54"/>
      <c r="D279" s="1254" t="s">
        <v>303</v>
      </c>
      <c r="E279" s="1254"/>
      <c r="F279" s="1254"/>
      <c r="G279" s="1254"/>
      <c r="H279" s="1254"/>
      <c r="I279" s="14"/>
    </row>
    <row r="280" spans="1:9" s="53" customFormat="1">
      <c r="A280" s="13"/>
      <c r="B280" s="13"/>
      <c r="C280" s="54"/>
      <c r="D280" s="1254" t="s">
        <v>316</v>
      </c>
      <c r="E280" s="1254"/>
      <c r="F280" s="1254"/>
      <c r="G280" s="1254"/>
      <c r="H280" s="1254"/>
      <c r="I280" s="14"/>
    </row>
    <row r="281" spans="1:9" s="53" customFormat="1" ht="39" customHeight="1">
      <c r="A281" s="13"/>
      <c r="B281" s="13"/>
      <c r="C281" s="54"/>
      <c r="D281" s="1254" t="s">
        <v>304</v>
      </c>
      <c r="E281" s="1254"/>
      <c r="F281" s="1254"/>
      <c r="G281" s="1254"/>
      <c r="H281" s="1254"/>
      <c r="I281" s="14"/>
    </row>
    <row r="282" spans="1:9" s="53" customFormat="1" ht="39.75" customHeight="1">
      <c r="A282" s="13"/>
      <c r="B282" s="13"/>
      <c r="C282" s="54"/>
      <c r="D282" s="1254" t="s">
        <v>305</v>
      </c>
      <c r="E282" s="1254"/>
      <c r="F282" s="1254"/>
      <c r="G282" s="1254"/>
      <c r="H282" s="1254"/>
      <c r="I282" s="14"/>
    </row>
    <row r="283" spans="1:9" s="53" customFormat="1">
      <c r="A283" s="13"/>
      <c r="B283" s="13"/>
      <c r="C283" s="54"/>
      <c r="D283" s="1254" t="s">
        <v>317</v>
      </c>
      <c r="E283" s="1254"/>
      <c r="F283" s="1254"/>
      <c r="G283" s="1254"/>
      <c r="H283" s="1254"/>
      <c r="I283" s="14"/>
    </row>
    <row r="284" spans="1:9" s="53" customFormat="1" ht="40.5" customHeight="1">
      <c r="A284" s="13"/>
      <c r="B284" s="13"/>
      <c r="C284" s="54"/>
      <c r="D284" s="1254" t="s">
        <v>306</v>
      </c>
      <c r="E284" s="1254"/>
      <c r="F284" s="1254"/>
      <c r="G284" s="1254"/>
      <c r="H284" s="1254"/>
      <c r="I284" s="14"/>
    </row>
    <row r="285" spans="1:9" s="53" customFormat="1" ht="26.25" customHeight="1">
      <c r="A285" s="13"/>
      <c r="B285" s="13"/>
      <c r="C285" s="54"/>
      <c r="D285" s="1254" t="s">
        <v>318</v>
      </c>
      <c r="E285" s="1254"/>
      <c r="F285" s="1254"/>
      <c r="G285" s="1254"/>
      <c r="H285" s="1254"/>
      <c r="I285" s="14"/>
    </row>
    <row r="286" spans="1:9" s="53" customFormat="1" ht="13.9" customHeight="1">
      <c r="A286" s="13"/>
      <c r="B286" s="13"/>
      <c r="C286" s="54"/>
      <c r="D286" s="1254" t="s">
        <v>307</v>
      </c>
      <c r="E286" s="1254"/>
      <c r="F286" s="1254"/>
      <c r="G286" s="1254"/>
      <c r="H286" s="1254"/>
      <c r="I286" s="14"/>
    </row>
    <row r="287" spans="1:9" s="53" customFormat="1" ht="39" customHeight="1">
      <c r="A287" s="13"/>
      <c r="B287" s="13"/>
      <c r="C287" s="54"/>
      <c r="D287" s="1254" t="s">
        <v>308</v>
      </c>
      <c r="E287" s="1254"/>
      <c r="F287" s="1254"/>
      <c r="G287" s="1254"/>
      <c r="H287" s="1254"/>
      <c r="I287" s="14"/>
    </row>
    <row r="288" spans="1:9" s="53" customFormat="1" ht="40.5" customHeight="1">
      <c r="A288" s="13"/>
      <c r="B288" s="13"/>
      <c r="C288" s="54"/>
      <c r="D288" s="1254" t="s">
        <v>319</v>
      </c>
      <c r="E288" s="1254"/>
      <c r="F288" s="1254"/>
      <c r="G288" s="1254"/>
      <c r="H288" s="1254"/>
      <c r="I288" s="14"/>
    </row>
    <row r="289" spans="1:9" s="53" customFormat="1">
      <c r="A289" s="13"/>
      <c r="B289" s="13"/>
      <c r="C289" s="54"/>
      <c r="D289" s="1254" t="s">
        <v>320</v>
      </c>
      <c r="E289" s="1254"/>
      <c r="F289" s="1254"/>
      <c r="G289" s="1254"/>
      <c r="H289" s="1254"/>
      <c r="I289" s="14"/>
    </row>
    <row r="290" spans="1:9" s="53" customFormat="1" ht="39.75" customHeight="1">
      <c r="A290" s="13"/>
      <c r="B290" s="13"/>
      <c r="C290" s="54"/>
      <c r="D290" s="1254" t="s">
        <v>309</v>
      </c>
      <c r="E290" s="1254"/>
      <c r="F290" s="1254"/>
      <c r="G290" s="1254"/>
      <c r="H290" s="1254"/>
      <c r="I290" s="14"/>
    </row>
    <row r="291" spans="1:9" s="53" customFormat="1" ht="13.5" customHeight="1">
      <c r="A291" s="13"/>
      <c r="B291" s="13"/>
      <c r="C291" s="54"/>
      <c r="D291" s="1254" t="s">
        <v>310</v>
      </c>
      <c r="E291" s="1254"/>
      <c r="F291" s="1254"/>
      <c r="G291" s="1254"/>
      <c r="H291" s="1254"/>
      <c r="I291" s="14"/>
    </row>
    <row r="292" spans="1:9" s="53" customFormat="1" ht="38.25" customHeight="1">
      <c r="A292" s="13"/>
      <c r="B292" s="13"/>
      <c r="C292" s="54"/>
      <c r="D292" s="1254" t="s">
        <v>311</v>
      </c>
      <c r="E292" s="1254"/>
      <c r="F292" s="1254"/>
      <c r="G292" s="1254"/>
      <c r="H292" s="1254"/>
      <c r="I292" s="14"/>
    </row>
    <row r="293" spans="1:9" s="53" customFormat="1" ht="40.5" customHeight="1">
      <c r="A293" s="13"/>
      <c r="B293" s="13"/>
      <c r="C293" s="54"/>
      <c r="D293" s="1254" t="s">
        <v>312</v>
      </c>
      <c r="E293" s="1254"/>
      <c r="F293" s="1254"/>
      <c r="G293" s="1254"/>
      <c r="H293" s="1254"/>
      <c r="I293" s="14"/>
    </row>
    <row r="294" spans="1:9" s="53" customFormat="1">
      <c r="A294" s="13"/>
      <c r="B294" s="13"/>
      <c r="C294" s="54"/>
      <c r="D294" s="72"/>
      <c r="E294" s="73"/>
      <c r="F294" s="74"/>
      <c r="G294" s="75"/>
      <c r="H294" s="75"/>
      <c r="I294" s="14"/>
    </row>
    <row r="295" spans="1:9" s="53" customFormat="1">
      <c r="A295" s="13"/>
      <c r="B295" s="13"/>
      <c r="C295" s="54"/>
      <c r="D295" s="1255" t="s">
        <v>418</v>
      </c>
      <c r="E295" s="1255"/>
      <c r="F295" s="1255"/>
      <c r="G295" s="1255"/>
      <c r="H295" s="1255"/>
      <c r="I295" s="14"/>
    </row>
    <row r="296" spans="1:9" s="53" customFormat="1" ht="37.5" customHeight="1">
      <c r="A296" s="13"/>
      <c r="B296" s="13"/>
      <c r="C296" s="54"/>
      <c r="D296" s="1254" t="s">
        <v>396</v>
      </c>
      <c r="E296" s="1254"/>
      <c r="F296" s="1254"/>
      <c r="G296" s="1254"/>
      <c r="H296" s="1254"/>
      <c r="I296" s="14"/>
    </row>
    <row r="297" spans="1:9" s="53" customFormat="1" ht="65.25" customHeight="1">
      <c r="A297" s="13"/>
      <c r="B297" s="13"/>
      <c r="C297" s="54"/>
      <c r="D297" s="1254" t="s">
        <v>397</v>
      </c>
      <c r="E297" s="1254"/>
      <c r="F297" s="1254"/>
      <c r="G297" s="1254"/>
      <c r="H297" s="1254"/>
      <c r="I297" s="14"/>
    </row>
    <row r="298" spans="1:9" s="53" customFormat="1" ht="51" customHeight="1">
      <c r="A298" s="13"/>
      <c r="B298" s="13"/>
      <c r="C298" s="54"/>
      <c r="D298" s="1254" t="s">
        <v>398</v>
      </c>
      <c r="E298" s="1254"/>
      <c r="F298" s="1254"/>
      <c r="G298" s="1254"/>
      <c r="H298" s="1254"/>
      <c r="I298" s="14"/>
    </row>
    <row r="299" spans="1:9" s="53" customFormat="1" ht="60.75" customHeight="1">
      <c r="A299" s="13"/>
      <c r="B299" s="13"/>
      <c r="C299" s="54"/>
      <c r="D299" s="1254" t="s">
        <v>399</v>
      </c>
      <c r="E299" s="1254"/>
      <c r="F299" s="1254"/>
      <c r="G299" s="1254"/>
      <c r="H299" s="1254"/>
      <c r="I299" s="14"/>
    </row>
    <row r="300" spans="1:9" s="53" customFormat="1">
      <c r="A300" s="13"/>
      <c r="B300" s="13"/>
      <c r="C300" s="54"/>
      <c r="D300" s="1254" t="s">
        <v>419</v>
      </c>
      <c r="E300" s="1254"/>
      <c r="F300" s="1254"/>
      <c r="G300" s="1254"/>
      <c r="H300" s="1254"/>
      <c r="I300" s="14"/>
    </row>
    <row r="301" spans="1:9" s="53" customFormat="1" ht="108" customHeight="1">
      <c r="A301" s="13"/>
      <c r="B301" s="13"/>
      <c r="C301" s="54"/>
      <c r="D301" s="1254" t="s">
        <v>400</v>
      </c>
      <c r="E301" s="1254"/>
      <c r="F301" s="1254"/>
      <c r="G301" s="1254"/>
      <c r="H301" s="1254"/>
      <c r="I301" s="14"/>
    </row>
    <row r="302" spans="1:9" s="53" customFormat="1" ht="79.5" customHeight="1">
      <c r="A302" s="13"/>
      <c r="B302" s="13"/>
      <c r="C302" s="54"/>
      <c r="D302" s="1254" t="s">
        <v>401</v>
      </c>
      <c r="E302" s="1254"/>
      <c r="F302" s="1254"/>
      <c r="G302" s="1254"/>
      <c r="H302" s="1254"/>
      <c r="I302" s="14"/>
    </row>
    <row r="303" spans="1:9" s="53" customFormat="1">
      <c r="A303" s="13"/>
      <c r="B303" s="13"/>
      <c r="C303" s="54"/>
      <c r="D303" s="1254" t="s">
        <v>420</v>
      </c>
      <c r="E303" s="1254"/>
      <c r="F303" s="1254"/>
      <c r="G303" s="1254"/>
      <c r="H303" s="1254"/>
      <c r="I303" s="14"/>
    </row>
    <row r="304" spans="1:9" s="53" customFormat="1" ht="39" customHeight="1">
      <c r="A304" s="13"/>
      <c r="B304" s="13"/>
      <c r="C304" s="54"/>
      <c r="D304" s="1254" t="s">
        <v>402</v>
      </c>
      <c r="E304" s="1254"/>
      <c r="F304" s="1254"/>
      <c r="G304" s="1254"/>
      <c r="H304" s="1254"/>
      <c r="I304" s="14"/>
    </row>
    <row r="305" spans="1:9" s="53" customFormat="1" ht="63" customHeight="1">
      <c r="A305" s="13"/>
      <c r="B305" s="13"/>
      <c r="C305" s="54"/>
      <c r="D305" s="1254" t="s">
        <v>403</v>
      </c>
      <c r="E305" s="1254"/>
      <c r="F305" s="1254"/>
      <c r="G305" s="1254"/>
      <c r="H305" s="1254"/>
      <c r="I305" s="14"/>
    </row>
    <row r="306" spans="1:9" s="53" customFormat="1" ht="13.9" customHeight="1">
      <c r="A306" s="13"/>
      <c r="B306" s="13"/>
      <c r="C306" s="54"/>
      <c r="D306" s="1254" t="s">
        <v>404</v>
      </c>
      <c r="E306" s="1254"/>
      <c r="F306" s="1254"/>
      <c r="G306" s="1254"/>
      <c r="H306" s="1254"/>
      <c r="I306" s="14"/>
    </row>
    <row r="307" spans="1:9" s="53" customFormat="1" ht="120" customHeight="1">
      <c r="A307" s="13"/>
      <c r="B307" s="13"/>
      <c r="C307" s="54"/>
      <c r="D307" s="1254" t="s">
        <v>405</v>
      </c>
      <c r="E307" s="1254"/>
      <c r="F307" s="1254"/>
      <c r="G307" s="1254"/>
      <c r="H307" s="1254"/>
      <c r="I307" s="14"/>
    </row>
    <row r="308" spans="1:9" s="53" customFormat="1">
      <c r="A308" s="13"/>
      <c r="B308" s="13"/>
      <c r="C308" s="54"/>
      <c r="D308" s="1254" t="s">
        <v>421</v>
      </c>
      <c r="E308" s="1254"/>
      <c r="F308" s="1254"/>
      <c r="G308" s="1254"/>
      <c r="H308" s="1254"/>
      <c r="I308" s="14"/>
    </row>
    <row r="309" spans="1:9" s="53" customFormat="1">
      <c r="A309" s="13"/>
      <c r="B309" s="13"/>
      <c r="C309" s="54"/>
      <c r="D309" s="1254" t="s">
        <v>406</v>
      </c>
      <c r="E309" s="1254"/>
      <c r="F309" s="1254"/>
      <c r="G309" s="1254"/>
      <c r="H309" s="1254"/>
      <c r="I309" s="14"/>
    </row>
    <row r="310" spans="1:9" s="53" customFormat="1">
      <c r="A310" s="13"/>
      <c r="B310" s="13"/>
      <c r="C310" s="54"/>
      <c r="D310" s="1254" t="s">
        <v>407</v>
      </c>
      <c r="E310" s="1254"/>
      <c r="F310" s="1254"/>
      <c r="G310" s="1254"/>
      <c r="H310" s="1254"/>
      <c r="I310" s="14"/>
    </row>
    <row r="311" spans="1:9" s="53" customFormat="1">
      <c r="A311" s="13"/>
      <c r="B311" s="13"/>
      <c r="C311" s="54"/>
      <c r="D311" s="1254" t="s">
        <v>408</v>
      </c>
      <c r="E311" s="1254"/>
      <c r="F311" s="1254"/>
      <c r="G311" s="1254"/>
      <c r="H311" s="1254"/>
      <c r="I311" s="14"/>
    </row>
    <row r="312" spans="1:9" s="53" customFormat="1">
      <c r="A312" s="13"/>
      <c r="B312" s="13"/>
      <c r="C312" s="54"/>
      <c r="D312" s="1254" t="s">
        <v>409</v>
      </c>
      <c r="E312" s="1254"/>
      <c r="F312" s="1254"/>
      <c r="G312" s="1254"/>
      <c r="H312" s="1254"/>
      <c r="I312" s="14"/>
    </row>
    <row r="313" spans="1:9" s="53" customFormat="1">
      <c r="A313" s="13"/>
      <c r="B313" s="13"/>
      <c r="C313" s="54"/>
      <c r="D313" s="1254" t="s">
        <v>196</v>
      </c>
      <c r="E313" s="1254"/>
      <c r="F313" s="1254"/>
      <c r="G313" s="1254"/>
      <c r="H313" s="1254"/>
      <c r="I313" s="14"/>
    </row>
    <row r="314" spans="1:9" s="53" customFormat="1">
      <c r="A314" s="13"/>
      <c r="B314" s="13"/>
      <c r="C314" s="54"/>
      <c r="D314" s="1254" t="s">
        <v>417</v>
      </c>
      <c r="E314" s="1254"/>
      <c r="F314" s="1254"/>
      <c r="G314" s="1254"/>
      <c r="H314" s="1254"/>
      <c r="I314" s="14"/>
    </row>
    <row r="315" spans="1:9" s="53" customFormat="1">
      <c r="A315" s="13"/>
      <c r="B315" s="13"/>
      <c r="C315" s="54"/>
      <c r="D315" s="1254" t="s">
        <v>410</v>
      </c>
      <c r="E315" s="1254"/>
      <c r="F315" s="1254"/>
      <c r="G315" s="1254"/>
      <c r="H315" s="1254"/>
      <c r="I315" s="14"/>
    </row>
    <row r="316" spans="1:9" s="53" customFormat="1">
      <c r="A316" s="13"/>
      <c r="B316" s="13"/>
      <c r="C316" s="54"/>
      <c r="D316" s="1254" t="s">
        <v>411</v>
      </c>
      <c r="E316" s="1254"/>
      <c r="F316" s="1254"/>
      <c r="G316" s="1254"/>
      <c r="H316" s="1254"/>
      <c r="I316" s="14"/>
    </row>
    <row r="317" spans="1:9" s="53" customFormat="1">
      <c r="A317" s="13"/>
      <c r="B317" s="13"/>
      <c r="C317" s="54"/>
      <c r="D317" s="1254" t="s">
        <v>422</v>
      </c>
      <c r="E317" s="1254"/>
      <c r="F317" s="1254"/>
      <c r="G317" s="1254"/>
      <c r="H317" s="1254"/>
      <c r="I317" s="14"/>
    </row>
    <row r="318" spans="1:9" s="53" customFormat="1" ht="27.75" customHeight="1">
      <c r="A318" s="13"/>
      <c r="B318" s="13"/>
      <c r="C318" s="54"/>
      <c r="D318" s="1254" t="s">
        <v>412</v>
      </c>
      <c r="E318" s="1254"/>
      <c r="F318" s="1254"/>
      <c r="G318" s="1254"/>
      <c r="H318" s="1254"/>
      <c r="I318" s="14"/>
    </row>
    <row r="319" spans="1:9" s="53" customFormat="1" ht="27.75" customHeight="1">
      <c r="A319" s="13"/>
      <c r="B319" s="13"/>
      <c r="C319" s="54"/>
      <c r="D319" s="1254" t="s">
        <v>413</v>
      </c>
      <c r="E319" s="1254"/>
      <c r="F319" s="1254"/>
      <c r="G319" s="1254"/>
      <c r="H319" s="1254"/>
      <c r="I319" s="14"/>
    </row>
    <row r="320" spans="1:9" s="53" customFormat="1" ht="13.9" customHeight="1">
      <c r="A320" s="13"/>
      <c r="B320" s="13"/>
      <c r="C320" s="54"/>
      <c r="D320" s="1254" t="s">
        <v>414</v>
      </c>
      <c r="E320" s="1254"/>
      <c r="F320" s="1254"/>
      <c r="G320" s="1254"/>
      <c r="H320" s="1254"/>
      <c r="I320" s="14"/>
    </row>
    <row r="321" spans="1:9" s="53" customFormat="1" ht="13.9" customHeight="1">
      <c r="A321" s="13"/>
      <c r="B321" s="13"/>
      <c r="C321" s="54"/>
      <c r="D321" s="1254" t="s">
        <v>415</v>
      </c>
      <c r="E321" s="1254"/>
      <c r="F321" s="1254"/>
      <c r="G321" s="1254"/>
      <c r="H321" s="1254"/>
      <c r="I321" s="14"/>
    </row>
    <row r="322" spans="1:9" s="53" customFormat="1" ht="26.25" customHeight="1">
      <c r="A322" s="13"/>
      <c r="B322" s="13"/>
      <c r="C322" s="54"/>
      <c r="D322" s="1254" t="s">
        <v>416</v>
      </c>
      <c r="E322" s="1254"/>
      <c r="F322" s="1254"/>
      <c r="G322" s="1254"/>
      <c r="H322" s="1254"/>
      <c r="I322" s="14"/>
    </row>
    <row r="323" spans="1:9" s="53" customFormat="1">
      <c r="A323" s="13"/>
      <c r="B323" s="13"/>
      <c r="C323" s="54"/>
      <c r="D323" s="72"/>
      <c r="E323" s="73"/>
      <c r="F323" s="74"/>
      <c r="G323" s="75"/>
      <c r="H323" s="75"/>
      <c r="I323" s="14"/>
    </row>
    <row r="324" spans="1:9" s="53" customFormat="1">
      <c r="A324" s="13"/>
      <c r="B324" s="13"/>
      <c r="C324" s="54"/>
      <c r="D324" s="1255" t="s">
        <v>321</v>
      </c>
      <c r="E324" s="1255"/>
      <c r="F324" s="1255"/>
      <c r="G324" s="1255"/>
      <c r="H324" s="1255"/>
      <c r="I324" s="14"/>
    </row>
    <row r="325" spans="1:9" s="53" customFormat="1" ht="27" customHeight="1">
      <c r="A325" s="13"/>
      <c r="B325" s="13"/>
      <c r="C325" s="54"/>
      <c r="D325" s="1254" t="s">
        <v>313</v>
      </c>
      <c r="E325" s="1254"/>
      <c r="F325" s="1254"/>
      <c r="G325" s="1254"/>
      <c r="H325" s="1254"/>
      <c r="I325" s="14"/>
    </row>
    <row r="326" spans="1:9" s="53" customFormat="1" ht="27.75" customHeight="1">
      <c r="A326" s="13"/>
      <c r="B326" s="13"/>
      <c r="C326" s="54"/>
      <c r="D326" s="1254" t="s">
        <v>294</v>
      </c>
      <c r="E326" s="1254"/>
      <c r="F326" s="1254"/>
      <c r="G326" s="1254"/>
      <c r="H326" s="1254"/>
      <c r="I326" s="14"/>
    </row>
    <row r="327" spans="1:9" s="53" customFormat="1" ht="27" customHeight="1">
      <c r="A327" s="13"/>
      <c r="B327" s="13"/>
      <c r="C327" s="54"/>
      <c r="D327" s="1254" t="s">
        <v>323</v>
      </c>
      <c r="E327" s="1254"/>
      <c r="F327" s="1254"/>
      <c r="G327" s="1254"/>
      <c r="H327" s="1254"/>
      <c r="I327" s="14"/>
    </row>
    <row r="328" spans="1:9" s="53" customFormat="1" ht="117.75" customHeight="1">
      <c r="A328" s="13"/>
      <c r="B328" s="13"/>
      <c r="C328" s="54"/>
      <c r="D328" s="1254" t="s">
        <v>324</v>
      </c>
      <c r="E328" s="1254"/>
      <c r="F328" s="1254"/>
      <c r="G328" s="1254"/>
      <c r="H328" s="1254"/>
      <c r="I328" s="14"/>
    </row>
    <row r="329" spans="1:9" s="53" customFormat="1" ht="14.25" customHeight="1">
      <c r="A329" s="13"/>
      <c r="B329" s="13"/>
      <c r="C329" s="54"/>
      <c r="D329" s="1254" t="s">
        <v>297</v>
      </c>
      <c r="E329" s="1254"/>
      <c r="F329" s="1254"/>
      <c r="G329" s="1254"/>
      <c r="H329" s="1254"/>
      <c r="I329" s="14"/>
    </row>
    <row r="330" spans="1:9" s="53" customFormat="1" ht="27" customHeight="1">
      <c r="A330" s="13"/>
      <c r="B330" s="13"/>
      <c r="C330" s="54"/>
      <c r="D330" s="1254" t="s">
        <v>325</v>
      </c>
      <c r="E330" s="1254"/>
      <c r="F330" s="1254"/>
      <c r="G330" s="1254"/>
      <c r="H330" s="1254"/>
      <c r="I330" s="14"/>
    </row>
    <row r="331" spans="1:9" s="53" customFormat="1">
      <c r="A331" s="13"/>
      <c r="B331" s="13"/>
      <c r="C331" s="54"/>
      <c r="D331" s="1254" t="s">
        <v>333</v>
      </c>
      <c r="E331" s="1254"/>
      <c r="F331" s="1254"/>
      <c r="G331" s="1254"/>
      <c r="H331" s="1254"/>
      <c r="I331" s="14"/>
    </row>
    <row r="332" spans="1:9" s="53" customFormat="1" ht="66" customHeight="1">
      <c r="A332" s="13"/>
      <c r="B332" s="13"/>
      <c r="C332" s="54"/>
      <c r="D332" s="1254" t="s">
        <v>326</v>
      </c>
      <c r="E332" s="1254"/>
      <c r="F332" s="1254"/>
      <c r="G332" s="1254"/>
      <c r="H332" s="1254"/>
      <c r="I332" s="14"/>
    </row>
    <row r="333" spans="1:9" s="53" customFormat="1" ht="13.9" customHeight="1">
      <c r="A333" s="13"/>
      <c r="B333" s="13"/>
      <c r="C333" s="54"/>
      <c r="D333" s="1254" t="s">
        <v>327</v>
      </c>
      <c r="E333" s="1254"/>
      <c r="F333" s="1254"/>
      <c r="G333" s="1254"/>
      <c r="H333" s="1254"/>
      <c r="I333" s="14"/>
    </row>
    <row r="334" spans="1:9" s="53" customFormat="1" ht="13.9" customHeight="1">
      <c r="A334" s="13"/>
      <c r="B334" s="13"/>
      <c r="C334" s="54"/>
      <c r="D334" s="1254" t="s">
        <v>328</v>
      </c>
      <c r="E334" s="1254"/>
      <c r="F334" s="1254"/>
      <c r="G334" s="1254"/>
      <c r="H334" s="1254"/>
      <c r="I334" s="14"/>
    </row>
    <row r="335" spans="1:9" s="53" customFormat="1" ht="51.75" customHeight="1">
      <c r="A335" s="13"/>
      <c r="B335" s="13"/>
      <c r="C335" s="54"/>
      <c r="D335" s="1254" t="s">
        <v>329</v>
      </c>
      <c r="E335" s="1254"/>
      <c r="F335" s="1254"/>
      <c r="G335" s="1254"/>
      <c r="H335" s="1254"/>
      <c r="I335" s="14"/>
    </row>
    <row r="336" spans="1:9" s="53" customFormat="1" ht="93.75" customHeight="1">
      <c r="A336" s="13"/>
      <c r="B336" s="13"/>
      <c r="C336" s="54"/>
      <c r="D336" s="1254" t="s">
        <v>334</v>
      </c>
      <c r="E336" s="1254"/>
      <c r="F336" s="1254"/>
      <c r="G336" s="1254"/>
      <c r="H336" s="1254"/>
      <c r="I336" s="14"/>
    </row>
    <row r="337" spans="1:9" s="53" customFormat="1" ht="13.9" customHeight="1">
      <c r="A337" s="13"/>
      <c r="B337" s="13"/>
      <c r="C337" s="54"/>
      <c r="D337" s="1254" t="s">
        <v>330</v>
      </c>
      <c r="E337" s="1254"/>
      <c r="F337" s="1254"/>
      <c r="G337" s="1254"/>
      <c r="H337" s="1254"/>
      <c r="I337" s="14"/>
    </row>
    <row r="338" spans="1:9" s="53" customFormat="1" ht="25.5" customHeight="1">
      <c r="A338" s="13"/>
      <c r="B338" s="13"/>
      <c r="C338" s="54"/>
      <c r="D338" s="1254" t="s">
        <v>331</v>
      </c>
      <c r="E338" s="1254"/>
      <c r="F338" s="1254"/>
      <c r="G338" s="1254"/>
      <c r="H338" s="1254"/>
      <c r="I338" s="14"/>
    </row>
    <row r="339" spans="1:9" s="53" customFormat="1" ht="13.9" customHeight="1">
      <c r="A339" s="13"/>
      <c r="B339" s="13"/>
      <c r="C339" s="54"/>
      <c r="D339" s="1254" t="s">
        <v>332</v>
      </c>
      <c r="E339" s="1254"/>
      <c r="F339" s="1254"/>
      <c r="G339" s="1254"/>
      <c r="H339" s="1254"/>
      <c r="I339" s="14"/>
    </row>
    <row r="340" spans="1:9" s="53" customFormat="1">
      <c r="A340" s="13"/>
      <c r="B340" s="13"/>
      <c r="C340" s="54"/>
      <c r="D340" s="72"/>
      <c r="E340" s="73"/>
      <c r="F340" s="74"/>
      <c r="G340" s="75"/>
      <c r="H340" s="75"/>
      <c r="I340" s="14"/>
    </row>
    <row r="341" spans="1:9" s="53" customFormat="1">
      <c r="A341" s="13"/>
      <c r="B341" s="13"/>
      <c r="C341" s="54"/>
      <c r="D341" s="1255" t="s">
        <v>345</v>
      </c>
      <c r="E341" s="1255"/>
      <c r="F341" s="1255"/>
      <c r="G341" s="1255"/>
      <c r="H341" s="1255"/>
      <c r="I341" s="14"/>
    </row>
    <row r="342" spans="1:9" s="53" customFormat="1" ht="51.75" customHeight="1">
      <c r="A342" s="13"/>
      <c r="B342" s="13"/>
      <c r="C342" s="54"/>
      <c r="D342" s="1254" t="s">
        <v>335</v>
      </c>
      <c r="E342" s="1254"/>
      <c r="F342" s="1254"/>
      <c r="G342" s="1254"/>
      <c r="H342" s="1254"/>
      <c r="I342" s="247"/>
    </row>
    <row r="343" spans="1:9" s="53" customFormat="1" ht="38.25" customHeight="1">
      <c r="A343" s="13"/>
      <c r="B343" s="13"/>
      <c r="C343" s="54"/>
      <c r="D343" s="1254" t="s">
        <v>336</v>
      </c>
      <c r="E343" s="1254"/>
      <c r="F343" s="1254"/>
      <c r="G343" s="1254"/>
      <c r="H343" s="1254"/>
      <c r="I343" s="247"/>
    </row>
    <row r="344" spans="1:9" s="53" customFormat="1" ht="25.5" customHeight="1">
      <c r="A344" s="13"/>
      <c r="B344" s="13"/>
      <c r="C344" s="54"/>
      <c r="D344" s="1254" t="s">
        <v>337</v>
      </c>
      <c r="E344" s="1254"/>
      <c r="F344" s="1254"/>
      <c r="G344" s="1254"/>
      <c r="H344" s="1254"/>
      <c r="I344" s="247"/>
    </row>
    <row r="345" spans="1:9" s="53" customFormat="1" ht="39.75" customHeight="1">
      <c r="A345" s="13"/>
      <c r="B345" s="13"/>
      <c r="C345" s="54"/>
      <c r="D345" s="1254" t="s">
        <v>338</v>
      </c>
      <c r="E345" s="1254"/>
      <c r="F345" s="1254"/>
      <c r="G345" s="1254"/>
      <c r="H345" s="1254"/>
      <c r="I345" s="247"/>
    </row>
    <row r="346" spans="1:9" s="53" customFormat="1">
      <c r="A346" s="13"/>
      <c r="B346" s="13"/>
      <c r="C346" s="54"/>
      <c r="D346" s="1254" t="s">
        <v>346</v>
      </c>
      <c r="E346" s="1254"/>
      <c r="F346" s="1254"/>
      <c r="G346" s="1254"/>
      <c r="H346" s="1254"/>
      <c r="I346" s="247"/>
    </row>
    <row r="347" spans="1:9" s="53" customFormat="1">
      <c r="A347" s="13"/>
      <c r="B347" s="13"/>
      <c r="C347" s="54"/>
      <c r="D347" s="1254" t="s">
        <v>339</v>
      </c>
      <c r="E347" s="1254"/>
      <c r="F347" s="1254"/>
      <c r="G347" s="1254"/>
      <c r="H347" s="1254"/>
      <c r="I347" s="247"/>
    </row>
    <row r="348" spans="1:9" s="53" customFormat="1" ht="39" customHeight="1">
      <c r="A348" s="13"/>
      <c r="B348" s="13"/>
      <c r="C348" s="54"/>
      <c r="D348" s="1254" t="s">
        <v>340</v>
      </c>
      <c r="E348" s="1254"/>
      <c r="F348" s="1254"/>
      <c r="G348" s="1254"/>
      <c r="H348" s="1254"/>
      <c r="I348" s="247"/>
    </row>
    <row r="349" spans="1:9" s="53" customFormat="1" ht="39.75" customHeight="1">
      <c r="A349" s="13"/>
      <c r="B349" s="13"/>
      <c r="C349" s="54"/>
      <c r="D349" s="1254" t="s">
        <v>341</v>
      </c>
      <c r="E349" s="1254"/>
      <c r="F349" s="1254"/>
      <c r="G349" s="1254"/>
      <c r="H349" s="1254"/>
      <c r="I349" s="247"/>
    </row>
    <row r="350" spans="1:9" s="53" customFormat="1" ht="27" customHeight="1">
      <c r="A350" s="13"/>
      <c r="B350" s="13"/>
      <c r="C350" s="54"/>
      <c r="D350" s="1254" t="s">
        <v>342</v>
      </c>
      <c r="E350" s="1254"/>
      <c r="F350" s="1254"/>
      <c r="G350" s="1254"/>
      <c r="H350" s="1254"/>
      <c r="I350" s="247"/>
    </row>
    <row r="351" spans="1:9" s="53" customFormat="1" ht="27" customHeight="1">
      <c r="A351" s="13"/>
      <c r="B351" s="13"/>
      <c r="C351" s="54"/>
      <c r="D351" s="1254" t="s">
        <v>343</v>
      </c>
      <c r="E351" s="1254"/>
      <c r="F351" s="1254"/>
      <c r="G351" s="1254"/>
      <c r="H351" s="1254"/>
      <c r="I351" s="247"/>
    </row>
    <row r="352" spans="1:9" s="53" customFormat="1" ht="66.75" customHeight="1">
      <c r="A352" s="13"/>
      <c r="B352" s="13"/>
      <c r="C352" s="54"/>
      <c r="D352" s="1254" t="s">
        <v>344</v>
      </c>
      <c r="E352" s="1254"/>
      <c r="F352" s="1254"/>
      <c r="G352" s="1254"/>
      <c r="H352" s="1254"/>
      <c r="I352" s="247"/>
    </row>
    <row r="353" spans="1:9" s="53" customFormat="1">
      <c r="A353" s="13"/>
      <c r="B353" s="13"/>
      <c r="C353" s="54"/>
      <c r="D353" s="1254"/>
      <c r="E353" s="1254"/>
      <c r="F353" s="1254"/>
      <c r="G353" s="1254"/>
      <c r="H353" s="1254"/>
      <c r="I353" s="247"/>
    </row>
    <row r="354" spans="1:9" s="53" customFormat="1" ht="13.9" customHeight="1">
      <c r="A354" s="13"/>
      <c r="B354" s="13"/>
      <c r="C354" s="54"/>
      <c r="D354" s="1254" t="s">
        <v>347</v>
      </c>
      <c r="E354" s="1254"/>
      <c r="F354" s="1254"/>
      <c r="G354" s="1254"/>
      <c r="H354" s="1254"/>
      <c r="I354" s="247"/>
    </row>
    <row r="355" spans="1:9" s="53" customFormat="1" ht="66" customHeight="1">
      <c r="A355" s="13"/>
      <c r="B355" s="13"/>
      <c r="C355" s="54"/>
      <c r="D355" s="1254" t="s">
        <v>348</v>
      </c>
      <c r="E355" s="1254"/>
      <c r="F355" s="1254"/>
      <c r="G355" s="1254"/>
      <c r="H355" s="1254"/>
      <c r="I355" s="247"/>
    </row>
    <row r="356" spans="1:9" s="53" customFormat="1" ht="27.75" customHeight="1">
      <c r="A356" s="13"/>
      <c r="B356" s="13"/>
      <c r="C356" s="54"/>
      <c r="D356" s="1254" t="s">
        <v>349</v>
      </c>
      <c r="E356" s="1254"/>
      <c r="F356" s="1254"/>
      <c r="G356" s="1254"/>
      <c r="H356" s="1254"/>
      <c r="I356" s="247"/>
    </row>
    <row r="357" spans="1:9" s="53" customFormat="1" ht="40.5" customHeight="1">
      <c r="A357" s="13"/>
      <c r="B357" s="13"/>
      <c r="C357" s="54"/>
      <c r="D357" s="1254" t="s">
        <v>350</v>
      </c>
      <c r="E357" s="1254"/>
      <c r="F357" s="1254"/>
      <c r="G357" s="1254"/>
      <c r="H357" s="1254"/>
      <c r="I357" s="247"/>
    </row>
    <row r="358" spans="1:9" s="53" customFormat="1" ht="39" customHeight="1">
      <c r="A358" s="13"/>
      <c r="B358" s="13"/>
      <c r="C358" s="54"/>
      <c r="D358" s="1254" t="s">
        <v>351</v>
      </c>
      <c r="E358" s="1254"/>
      <c r="F358" s="1254"/>
      <c r="G358" s="1254"/>
      <c r="H358" s="1254"/>
      <c r="I358" s="247"/>
    </row>
    <row r="359" spans="1:9" s="53" customFormat="1" ht="53.25" customHeight="1">
      <c r="A359" s="13"/>
      <c r="B359" s="13"/>
      <c r="C359" s="54"/>
      <c r="D359" s="1254" t="s">
        <v>352</v>
      </c>
      <c r="E359" s="1254"/>
      <c r="F359" s="1254"/>
      <c r="G359" s="1254"/>
      <c r="H359" s="1254"/>
      <c r="I359" s="247"/>
    </row>
    <row r="360" spans="1:9" s="53" customFormat="1" ht="26.25" customHeight="1">
      <c r="A360" s="13"/>
      <c r="B360" s="13"/>
      <c r="C360" s="54"/>
      <c r="D360" s="1254" t="s">
        <v>353</v>
      </c>
      <c r="E360" s="1254"/>
      <c r="F360" s="1254"/>
      <c r="G360" s="1254"/>
      <c r="H360" s="1254"/>
      <c r="I360" s="247"/>
    </row>
    <row r="361" spans="1:9" s="53" customFormat="1" ht="78.75" customHeight="1">
      <c r="A361" s="13"/>
      <c r="B361" s="13"/>
      <c r="C361" s="54"/>
      <c r="D361" s="1254" t="s">
        <v>354</v>
      </c>
      <c r="E361" s="1254"/>
      <c r="F361" s="1254"/>
      <c r="G361" s="1254"/>
      <c r="H361" s="1254"/>
      <c r="I361" s="247"/>
    </row>
    <row r="362" spans="1:9" s="53" customFormat="1" ht="39.75" customHeight="1">
      <c r="A362" s="13"/>
      <c r="B362" s="13"/>
      <c r="C362" s="54"/>
      <c r="D362" s="1254" t="s">
        <v>355</v>
      </c>
      <c r="E362" s="1254"/>
      <c r="F362" s="1254"/>
      <c r="G362" s="1254"/>
      <c r="H362" s="1254"/>
      <c r="I362" s="247"/>
    </row>
    <row r="363" spans="1:9" s="53" customFormat="1" ht="26.25" customHeight="1">
      <c r="A363" s="13"/>
      <c r="B363" s="13"/>
      <c r="C363" s="54"/>
      <c r="D363" s="1254" t="s">
        <v>356</v>
      </c>
      <c r="E363" s="1254"/>
      <c r="F363" s="1254"/>
      <c r="G363" s="1254"/>
      <c r="H363" s="1254"/>
      <c r="I363" s="247"/>
    </row>
    <row r="364" spans="1:9" s="53" customFormat="1" ht="27" customHeight="1">
      <c r="A364" s="13"/>
      <c r="B364" s="13"/>
      <c r="C364" s="54"/>
      <c r="D364" s="1254" t="s">
        <v>360</v>
      </c>
      <c r="E364" s="1254"/>
      <c r="F364" s="1254"/>
      <c r="G364" s="1254"/>
      <c r="H364" s="1254"/>
      <c r="I364" s="247"/>
    </row>
    <row r="365" spans="1:9" s="53" customFormat="1" ht="27" customHeight="1">
      <c r="A365" s="13"/>
      <c r="B365" s="13"/>
      <c r="C365" s="54"/>
      <c r="D365" s="1254" t="s">
        <v>357</v>
      </c>
      <c r="E365" s="1254"/>
      <c r="F365" s="1254"/>
      <c r="G365" s="1254"/>
      <c r="H365" s="1254"/>
      <c r="I365" s="247"/>
    </row>
    <row r="366" spans="1:9" s="53" customFormat="1" ht="52.5" customHeight="1">
      <c r="A366" s="13"/>
      <c r="B366" s="13"/>
      <c r="C366" s="54"/>
      <c r="D366" s="1254" t="s">
        <v>358</v>
      </c>
      <c r="E366" s="1254"/>
      <c r="F366" s="1254"/>
      <c r="G366" s="1254"/>
      <c r="H366" s="1254"/>
      <c r="I366" s="247"/>
    </row>
    <row r="367" spans="1:9" s="53" customFormat="1" ht="13.9" customHeight="1">
      <c r="A367" s="13"/>
      <c r="B367" s="13"/>
      <c r="C367" s="54"/>
      <c r="D367" s="1254" t="s">
        <v>359</v>
      </c>
      <c r="E367" s="1254"/>
      <c r="F367" s="1254"/>
      <c r="G367" s="1254"/>
      <c r="H367" s="1254"/>
      <c r="I367" s="247"/>
    </row>
    <row r="368" spans="1:9" s="53" customFormat="1">
      <c r="A368" s="13"/>
      <c r="B368" s="13"/>
      <c r="C368" s="54"/>
      <c r="D368" s="72"/>
      <c r="E368" s="73"/>
      <c r="F368" s="74"/>
      <c r="G368" s="75"/>
      <c r="H368" s="75"/>
      <c r="I368" s="14"/>
    </row>
    <row r="369" spans="1:9" s="53" customFormat="1">
      <c r="A369" s="13"/>
      <c r="B369" s="13"/>
      <c r="C369" s="54"/>
      <c r="D369" s="1255" t="s">
        <v>361</v>
      </c>
      <c r="E369" s="1255"/>
      <c r="F369" s="1255"/>
      <c r="G369" s="1255"/>
      <c r="H369" s="1255"/>
      <c r="I369" s="14"/>
    </row>
    <row r="370" spans="1:9" s="53" customFormat="1" ht="39" customHeight="1">
      <c r="A370" s="13"/>
      <c r="B370" s="13"/>
      <c r="C370" s="54"/>
      <c r="D370" s="1254" t="s">
        <v>362</v>
      </c>
      <c r="E370" s="1254"/>
      <c r="F370" s="1254"/>
      <c r="G370" s="1254"/>
      <c r="H370" s="1254"/>
      <c r="I370" s="14"/>
    </row>
    <row r="371" spans="1:9" s="53" customFormat="1" ht="78.75" customHeight="1">
      <c r="A371" s="13"/>
      <c r="B371" s="13"/>
      <c r="C371" s="54"/>
      <c r="D371" s="1254" t="s">
        <v>363</v>
      </c>
      <c r="E371" s="1254"/>
      <c r="F371" s="1254"/>
      <c r="G371" s="1254"/>
      <c r="H371" s="1254"/>
      <c r="I371" s="14"/>
    </row>
    <row r="372" spans="1:9" s="53" customFormat="1" ht="53.25" customHeight="1">
      <c r="A372" s="13"/>
      <c r="B372" s="13"/>
      <c r="C372" s="54"/>
      <c r="D372" s="1254" t="s">
        <v>364</v>
      </c>
      <c r="E372" s="1254"/>
      <c r="F372" s="1254"/>
      <c r="G372" s="1254"/>
      <c r="H372" s="1254"/>
      <c r="I372" s="14"/>
    </row>
    <row r="373" spans="1:9" s="53" customFormat="1" ht="39" customHeight="1">
      <c r="A373" s="13"/>
      <c r="B373" s="13"/>
      <c r="C373" s="54"/>
      <c r="D373" s="1254" t="s">
        <v>365</v>
      </c>
      <c r="E373" s="1254"/>
      <c r="F373" s="1254"/>
      <c r="G373" s="1254"/>
      <c r="H373" s="1254"/>
      <c r="I373" s="14"/>
    </row>
    <row r="374" spans="1:9" s="53" customFormat="1" ht="65.25" customHeight="1">
      <c r="A374" s="13"/>
      <c r="B374" s="13"/>
      <c r="C374" s="54"/>
      <c r="D374" s="1254" t="s">
        <v>366</v>
      </c>
      <c r="E374" s="1254"/>
      <c r="F374" s="1254"/>
      <c r="G374" s="1254"/>
      <c r="H374" s="1254"/>
      <c r="I374" s="14"/>
    </row>
    <row r="375" spans="1:9" s="53" customFormat="1" ht="27" customHeight="1">
      <c r="A375" s="13"/>
      <c r="B375" s="13"/>
      <c r="C375" s="54"/>
      <c r="D375" s="1254" t="s">
        <v>367</v>
      </c>
      <c r="E375" s="1254"/>
      <c r="F375" s="1254"/>
      <c r="G375" s="1254"/>
      <c r="H375" s="1254"/>
      <c r="I375" s="14"/>
    </row>
    <row r="376" spans="1:9" s="53" customFormat="1" ht="39.75" customHeight="1">
      <c r="A376" s="13"/>
      <c r="B376" s="13"/>
      <c r="C376" s="54"/>
      <c r="D376" s="1254" t="s">
        <v>368</v>
      </c>
      <c r="E376" s="1254"/>
      <c r="F376" s="1254"/>
      <c r="G376" s="1254"/>
      <c r="H376" s="1254"/>
      <c r="I376" s="14"/>
    </row>
    <row r="377" spans="1:9" s="53" customFormat="1" ht="13.9" customHeight="1">
      <c r="A377" s="13"/>
      <c r="B377" s="13"/>
      <c r="C377" s="54"/>
      <c r="D377" s="1254" t="s">
        <v>369</v>
      </c>
      <c r="E377" s="1254"/>
      <c r="F377" s="1254"/>
      <c r="G377" s="1254"/>
      <c r="H377" s="1254"/>
      <c r="I377" s="14"/>
    </row>
    <row r="378" spans="1:9" s="53" customFormat="1">
      <c r="A378" s="13"/>
      <c r="B378" s="13"/>
      <c r="C378" s="54"/>
      <c r="D378" s="72"/>
      <c r="E378" s="73"/>
      <c r="F378" s="74"/>
      <c r="G378" s="75"/>
      <c r="H378" s="75"/>
      <c r="I378" s="14"/>
    </row>
    <row r="379" spans="1:9" s="53" customFormat="1">
      <c r="A379" s="13"/>
      <c r="B379" s="13"/>
      <c r="C379" s="54"/>
      <c r="D379" s="1255" t="s">
        <v>370</v>
      </c>
      <c r="E379" s="1255"/>
      <c r="F379" s="1255"/>
      <c r="G379" s="1255"/>
      <c r="H379" s="1255"/>
      <c r="I379" s="14"/>
    </row>
    <row r="380" spans="1:9" s="53" customFormat="1" ht="64.5" customHeight="1">
      <c r="A380" s="13"/>
      <c r="B380" s="13"/>
      <c r="C380" s="54"/>
      <c r="D380" s="1254" t="s">
        <v>371</v>
      </c>
      <c r="E380" s="1254"/>
      <c r="F380" s="1254"/>
      <c r="G380" s="1254"/>
      <c r="H380" s="1254"/>
      <c r="I380" s="14"/>
    </row>
    <row r="381" spans="1:9" s="53" customFormat="1" ht="23.25" customHeight="1">
      <c r="A381" s="13"/>
      <c r="B381" s="13"/>
      <c r="C381" s="54"/>
      <c r="D381" s="1254" t="s">
        <v>349</v>
      </c>
      <c r="E381" s="1254"/>
      <c r="F381" s="1254"/>
      <c r="G381" s="1254"/>
      <c r="H381" s="1254"/>
      <c r="I381" s="14"/>
    </row>
    <row r="382" spans="1:9" s="53" customFormat="1" ht="38.25" customHeight="1">
      <c r="A382" s="13"/>
      <c r="B382" s="13"/>
      <c r="C382" s="54"/>
      <c r="D382" s="1254" t="s">
        <v>372</v>
      </c>
      <c r="E382" s="1254"/>
      <c r="F382" s="1254"/>
      <c r="G382" s="1254"/>
      <c r="H382" s="1254"/>
      <c r="I382" s="14"/>
    </row>
    <row r="383" spans="1:9" s="53" customFormat="1" ht="91.5" customHeight="1">
      <c r="A383" s="13"/>
      <c r="B383" s="13"/>
      <c r="C383" s="54"/>
      <c r="D383" s="1254" t="s">
        <v>373</v>
      </c>
      <c r="E383" s="1254"/>
      <c r="F383" s="1254"/>
      <c r="G383" s="1254"/>
      <c r="H383" s="1254"/>
      <c r="I383" s="14"/>
    </row>
    <row r="384" spans="1:9" s="53" customFormat="1" ht="26.25" customHeight="1">
      <c r="A384" s="13"/>
      <c r="B384" s="13"/>
      <c r="C384" s="54"/>
      <c r="D384" s="1254" t="s">
        <v>374</v>
      </c>
      <c r="E384" s="1254"/>
      <c r="F384" s="1254"/>
      <c r="G384" s="1254"/>
      <c r="H384" s="1254"/>
      <c r="I384" s="14"/>
    </row>
    <row r="385" spans="1:9" s="53" customFormat="1" ht="39" customHeight="1">
      <c r="A385" s="13"/>
      <c r="B385" s="13"/>
      <c r="C385" s="54"/>
      <c r="D385" s="1254" t="s">
        <v>375</v>
      </c>
      <c r="E385" s="1254"/>
      <c r="F385" s="1254"/>
      <c r="G385" s="1254"/>
      <c r="H385" s="1254"/>
      <c r="I385" s="14"/>
    </row>
    <row r="386" spans="1:9" s="53" customFormat="1" ht="24.75" customHeight="1">
      <c r="A386" s="13"/>
      <c r="B386" s="13"/>
      <c r="C386" s="54"/>
      <c r="D386" s="1254" t="s">
        <v>376</v>
      </c>
      <c r="E386" s="1254"/>
      <c r="F386" s="1254"/>
      <c r="G386" s="1254"/>
      <c r="H386" s="1254"/>
      <c r="I386" s="14"/>
    </row>
    <row r="387" spans="1:9" s="53" customFormat="1" ht="37.5" customHeight="1">
      <c r="A387" s="13"/>
      <c r="B387" s="13"/>
      <c r="C387" s="54"/>
      <c r="D387" s="1254" t="s">
        <v>377</v>
      </c>
      <c r="E387" s="1254"/>
      <c r="F387" s="1254"/>
      <c r="G387" s="1254"/>
      <c r="H387" s="1254"/>
      <c r="I387" s="14"/>
    </row>
    <row r="388" spans="1:9" s="53" customFormat="1" ht="51.75" customHeight="1">
      <c r="A388" s="13"/>
      <c r="B388" s="13"/>
      <c r="C388" s="54"/>
      <c r="D388" s="1254" t="s">
        <v>364</v>
      </c>
      <c r="E388" s="1254"/>
      <c r="F388" s="1254"/>
      <c r="G388" s="1254"/>
      <c r="H388" s="1254"/>
      <c r="I388" s="14"/>
    </row>
    <row r="389" spans="1:9" s="53" customFormat="1" ht="25.5" customHeight="1">
      <c r="A389" s="13"/>
      <c r="B389" s="13"/>
      <c r="C389" s="54"/>
      <c r="D389" s="1254" t="s">
        <v>378</v>
      </c>
      <c r="E389" s="1254"/>
      <c r="F389" s="1254"/>
      <c r="G389" s="1254"/>
      <c r="H389" s="1254"/>
      <c r="I389" s="14"/>
    </row>
    <row r="390" spans="1:9" s="53" customFormat="1">
      <c r="A390" s="13"/>
      <c r="B390" s="13"/>
      <c r="C390" s="54"/>
      <c r="D390" s="72"/>
      <c r="E390" s="73"/>
      <c r="F390" s="74"/>
      <c r="G390" s="75"/>
      <c r="H390" s="75"/>
      <c r="I390" s="14"/>
    </row>
    <row r="391" spans="1:9" s="53" customFormat="1">
      <c r="A391" s="13"/>
      <c r="B391" s="13"/>
      <c r="C391" s="54"/>
      <c r="D391" s="1255" t="s">
        <v>379</v>
      </c>
      <c r="E391" s="1255"/>
      <c r="F391" s="1255"/>
      <c r="G391" s="1255"/>
      <c r="H391" s="1255"/>
      <c r="I391" s="14"/>
    </row>
    <row r="392" spans="1:9" s="53" customFormat="1" ht="52.5" customHeight="1">
      <c r="A392" s="13"/>
      <c r="B392" s="13"/>
      <c r="C392" s="54"/>
      <c r="D392" s="1254" t="s">
        <v>358</v>
      </c>
      <c r="E392" s="1254"/>
      <c r="F392" s="1254"/>
      <c r="G392" s="1254"/>
      <c r="H392" s="1254"/>
      <c r="I392" s="14"/>
    </row>
    <row r="393" spans="1:9" s="53" customFormat="1">
      <c r="A393" s="13"/>
      <c r="B393" s="13"/>
      <c r="C393" s="51"/>
      <c r="D393" s="1256"/>
      <c r="E393" s="1256"/>
      <c r="F393" s="1256"/>
      <c r="G393" s="1256"/>
      <c r="H393" s="1256"/>
      <c r="I393" s="14"/>
    </row>
    <row r="394" spans="1:9" s="53" customFormat="1">
      <c r="A394" s="13"/>
      <c r="B394" s="13"/>
      <c r="C394" s="54"/>
      <c r="D394" s="72" t="s">
        <v>27</v>
      </c>
      <c r="E394" s="73"/>
      <c r="F394" s="74"/>
      <c r="G394" s="75"/>
      <c r="H394" s="75"/>
      <c r="I394" s="14"/>
    </row>
    <row r="395" spans="1:9" s="53" customFormat="1" ht="156.75" customHeight="1">
      <c r="A395" s="13"/>
      <c r="B395" s="13"/>
      <c r="C395" s="51"/>
      <c r="D395" s="1254" t="s">
        <v>22</v>
      </c>
      <c r="E395" s="1254"/>
      <c r="F395" s="1254"/>
      <c r="G395" s="1254"/>
      <c r="H395" s="1254"/>
      <c r="I395" s="56"/>
    </row>
    <row r="396" spans="1:9" s="53" customFormat="1" ht="120" customHeight="1">
      <c r="A396" s="13"/>
      <c r="B396" s="13"/>
      <c r="C396" s="51"/>
      <c r="D396" s="1254" t="s">
        <v>23</v>
      </c>
      <c r="E396" s="1254"/>
      <c r="F396" s="1254"/>
      <c r="G396" s="1254"/>
      <c r="H396" s="1254"/>
      <c r="I396" s="56"/>
    </row>
    <row r="397" spans="1:9" s="53" customFormat="1" ht="116.25" customHeight="1">
      <c r="A397" s="13"/>
      <c r="B397" s="13"/>
      <c r="C397" s="51"/>
      <c r="D397" s="1254" t="s">
        <v>48</v>
      </c>
      <c r="E397" s="1254"/>
      <c r="F397" s="1254"/>
      <c r="G397" s="1254"/>
      <c r="H397" s="1254"/>
      <c r="I397" s="56"/>
    </row>
    <row r="398" spans="1:9" s="49" customFormat="1" ht="155.25" customHeight="1">
      <c r="A398" s="13"/>
      <c r="B398" s="13"/>
      <c r="C398" s="51"/>
      <c r="D398" s="1254" t="s">
        <v>24</v>
      </c>
      <c r="E398" s="1254"/>
      <c r="F398" s="1254"/>
      <c r="G398" s="1254"/>
      <c r="H398" s="1254"/>
      <c r="I398" s="56"/>
    </row>
    <row r="399" spans="1:9" s="49" customFormat="1" ht="194.25" customHeight="1">
      <c r="A399" s="13"/>
      <c r="B399" s="13"/>
      <c r="C399" s="57"/>
      <c r="D399" s="1254" t="s">
        <v>25</v>
      </c>
      <c r="E399" s="1254"/>
      <c r="F399" s="1254"/>
      <c r="G399" s="1254"/>
      <c r="H399" s="1254"/>
      <c r="I399" s="56"/>
    </row>
    <row r="400" spans="1:9" s="49" customFormat="1" ht="24.75" customHeight="1">
      <c r="A400" s="13"/>
      <c r="B400" s="13"/>
      <c r="C400" s="51"/>
      <c r="D400" s="1254" t="s">
        <v>26</v>
      </c>
      <c r="E400" s="1254"/>
      <c r="F400" s="1254"/>
      <c r="G400" s="1254"/>
      <c r="H400" s="1254"/>
      <c r="I400" s="56"/>
    </row>
    <row r="401" spans="1:9" s="49" customFormat="1">
      <c r="A401" s="149"/>
      <c r="B401" s="149"/>
      <c r="C401" s="150"/>
      <c r="D401" s="151"/>
      <c r="E401" s="14"/>
      <c r="F401" s="14"/>
      <c r="G401" s="14"/>
      <c r="H401" s="14"/>
      <c r="I401" s="14"/>
    </row>
    <row r="402" spans="1:9" s="49" customFormat="1">
      <c r="A402" s="13"/>
      <c r="B402" s="13"/>
      <c r="C402" s="43"/>
      <c r="D402" s="72" t="s">
        <v>28</v>
      </c>
      <c r="E402" s="73"/>
      <c r="F402" s="74"/>
      <c r="G402" s="75"/>
      <c r="H402" s="75"/>
      <c r="I402" s="68"/>
    </row>
    <row r="403" spans="1:9" s="49" customFormat="1" ht="24.75" customHeight="1">
      <c r="A403" s="13"/>
      <c r="B403" s="13"/>
      <c r="C403" s="43"/>
      <c r="D403" s="1254" t="s">
        <v>38</v>
      </c>
      <c r="E403" s="1254"/>
      <c r="F403" s="1254"/>
      <c r="G403" s="1254"/>
      <c r="H403" s="1254"/>
      <c r="I403" s="157"/>
    </row>
    <row r="404" spans="1:9" s="49" customFormat="1" ht="24.75" customHeight="1">
      <c r="A404" s="13"/>
      <c r="B404" s="13"/>
      <c r="C404" s="43"/>
      <c r="D404" s="1254" t="s">
        <v>40</v>
      </c>
      <c r="E404" s="1254"/>
      <c r="F404" s="1254"/>
      <c r="G404" s="1254"/>
      <c r="H404" s="1254"/>
      <c r="I404" s="157"/>
    </row>
    <row r="405" spans="1:9" s="49" customFormat="1" ht="13.5" customHeight="1">
      <c r="A405" s="13"/>
      <c r="B405" s="13"/>
      <c r="C405" s="57"/>
      <c r="D405" s="1254" t="s">
        <v>39</v>
      </c>
      <c r="E405" s="1254"/>
      <c r="F405" s="1254"/>
      <c r="G405" s="1254"/>
      <c r="H405" s="1254"/>
      <c r="I405" s="158"/>
    </row>
    <row r="406" spans="1:9" s="49" customFormat="1" ht="12" customHeight="1">
      <c r="A406" s="13"/>
      <c r="B406" s="13"/>
      <c r="C406" s="57"/>
      <c r="D406" s="1254" t="s">
        <v>41</v>
      </c>
      <c r="E406" s="1254"/>
      <c r="F406" s="1254"/>
      <c r="G406" s="1254"/>
      <c r="H406" s="1254"/>
      <c r="I406" s="157"/>
    </row>
    <row r="407" spans="1:9" s="49" customFormat="1" ht="27.75" customHeight="1">
      <c r="A407" s="13"/>
      <c r="B407" s="13"/>
      <c r="C407" s="57"/>
      <c r="D407" s="1254" t="s">
        <v>42</v>
      </c>
      <c r="E407" s="1254"/>
      <c r="F407" s="1254"/>
      <c r="G407" s="1254"/>
      <c r="H407" s="1254"/>
      <c r="I407" s="157"/>
    </row>
    <row r="408" spans="1:9" s="49" customFormat="1" ht="15.75" customHeight="1">
      <c r="A408" s="13"/>
      <c r="B408" s="13"/>
      <c r="C408" s="57"/>
      <c r="D408" s="1254" t="s">
        <v>43</v>
      </c>
      <c r="E408" s="1254"/>
      <c r="F408" s="1254"/>
      <c r="G408" s="1254"/>
      <c r="H408" s="1254"/>
      <c r="I408" s="157"/>
    </row>
    <row r="409" spans="1:9" s="49" customFormat="1" ht="25.5" customHeight="1">
      <c r="A409" s="13"/>
      <c r="B409" s="13"/>
      <c r="C409" s="57"/>
      <c r="D409" s="1254" t="s">
        <v>44</v>
      </c>
      <c r="E409" s="1254"/>
      <c r="F409" s="1254"/>
      <c r="G409" s="1254"/>
      <c r="H409" s="1254"/>
      <c r="I409" s="157"/>
    </row>
    <row r="410" spans="1:9" s="49" customFormat="1" ht="13.9" customHeight="1">
      <c r="A410" s="60"/>
      <c r="B410" s="60"/>
      <c r="C410" s="57"/>
      <c r="D410" s="1254" t="s">
        <v>45</v>
      </c>
      <c r="E410" s="1254"/>
      <c r="F410" s="1254"/>
      <c r="G410" s="1254"/>
      <c r="H410" s="1254"/>
      <c r="I410" s="158"/>
    </row>
    <row r="411" spans="1:9">
      <c r="H411" s="47"/>
    </row>
  </sheetData>
  <sheetProtection algorithmName="SHA-512" hashValue="AKRvtTMBZ4rOHqsts/X9348s7ZJ58nQJBzAQMuX7cznTqNLTK3nSJggTFn5otfuhXEpHEcmRwGzG6FGYlUg5ZA==" saltValue="yrNBdfmPX8Dfnadchv1AzQ==" spinCount="100000" sheet="1" objects="1" scenarios="1"/>
  <protectedRanges>
    <protectedRange sqref="G194:G205" name="Range1_2"/>
    <protectedRange sqref="G266:G274 G276:G277 G279 G281:G282 G284:G288 G290:G293" name="Range1"/>
    <protectedRange sqref="G325:G339" name="Range1_1"/>
    <protectedRange sqref="G355:G367" name="Range1_1_1"/>
    <protectedRange sqref="G370:G377" name="Range1_1_1_2"/>
    <protectedRange sqref="G380:G389" name="Range1_3"/>
    <protectedRange sqref="G392" name="Range1_1_1_1"/>
  </protectedRanges>
  <mergeCells count="340">
    <mergeCell ref="D305:H305"/>
    <mergeCell ref="D306:H306"/>
    <mergeCell ref="D322:H322"/>
    <mergeCell ref="D83:H83"/>
    <mergeCell ref="D284:H284"/>
    <mergeCell ref="D285:H285"/>
    <mergeCell ref="D286:H286"/>
    <mergeCell ref="D287:H287"/>
    <mergeCell ref="D288:H288"/>
    <mergeCell ref="D196:H196"/>
    <mergeCell ref="D197:H197"/>
    <mergeCell ref="D198:H198"/>
    <mergeCell ref="D199:H199"/>
    <mergeCell ref="D200:H200"/>
    <mergeCell ref="D229:H229"/>
    <mergeCell ref="D230:H230"/>
    <mergeCell ref="D231:H231"/>
    <mergeCell ref="D269:H269"/>
    <mergeCell ref="D263:H263"/>
    <mergeCell ref="D295:H295"/>
    <mergeCell ref="D307:H307"/>
    <mergeCell ref="D296:H296"/>
    <mergeCell ref="D297:H297"/>
    <mergeCell ref="D298:H298"/>
    <mergeCell ref="D371:H371"/>
    <mergeCell ref="D372:H372"/>
    <mergeCell ref="D373:H373"/>
    <mergeCell ref="D374:H374"/>
    <mergeCell ref="D375:H375"/>
    <mergeCell ref="D365:H365"/>
    <mergeCell ref="D366:H366"/>
    <mergeCell ref="D367:H367"/>
    <mergeCell ref="D369:H369"/>
    <mergeCell ref="D370:H370"/>
    <mergeCell ref="D357:H357"/>
    <mergeCell ref="D358:H358"/>
    <mergeCell ref="D359:H359"/>
    <mergeCell ref="D350:H350"/>
    <mergeCell ref="D351:H351"/>
    <mergeCell ref="D352:H352"/>
    <mergeCell ref="D341:H341"/>
    <mergeCell ref="D354:H354"/>
    <mergeCell ref="D345:H345"/>
    <mergeCell ref="D347:H347"/>
    <mergeCell ref="D348:H348"/>
    <mergeCell ref="D349:H349"/>
    <mergeCell ref="D342:H342"/>
    <mergeCell ref="D343:H343"/>
    <mergeCell ref="D344:H344"/>
    <mergeCell ref="D299:H299"/>
    <mergeCell ref="D301:H301"/>
    <mergeCell ref="D302:H302"/>
    <mergeCell ref="D304:H304"/>
    <mergeCell ref="D318:H318"/>
    <mergeCell ref="D319:H319"/>
    <mergeCell ref="D320:H320"/>
    <mergeCell ref="D321:H321"/>
    <mergeCell ref="D391:H391"/>
    <mergeCell ref="D360:H360"/>
    <mergeCell ref="D361:H361"/>
    <mergeCell ref="D362:H362"/>
    <mergeCell ref="D363:H363"/>
    <mergeCell ref="D364:H364"/>
    <mergeCell ref="D338:H338"/>
    <mergeCell ref="D339:H339"/>
    <mergeCell ref="D330:H330"/>
    <mergeCell ref="D331:H331"/>
    <mergeCell ref="D332:H332"/>
    <mergeCell ref="D333:H333"/>
    <mergeCell ref="D324:H324"/>
    <mergeCell ref="D325:H325"/>
    <mergeCell ref="D326:H326"/>
    <mergeCell ref="D327:H327"/>
    <mergeCell ref="D392:H392"/>
    <mergeCell ref="D382:H382"/>
    <mergeCell ref="D383:H383"/>
    <mergeCell ref="D384:H384"/>
    <mergeCell ref="D385:H385"/>
    <mergeCell ref="D386:H386"/>
    <mergeCell ref="D376:H376"/>
    <mergeCell ref="D377:H377"/>
    <mergeCell ref="D379:H379"/>
    <mergeCell ref="D380:H380"/>
    <mergeCell ref="D381:H381"/>
    <mergeCell ref="D387:H387"/>
    <mergeCell ref="D388:H388"/>
    <mergeCell ref="D389:H389"/>
    <mergeCell ref="D246:H246"/>
    <mergeCell ref="D247:H247"/>
    <mergeCell ref="D248:H248"/>
    <mergeCell ref="D249:H249"/>
    <mergeCell ref="D355:H355"/>
    <mergeCell ref="D356:H356"/>
    <mergeCell ref="D289:H289"/>
    <mergeCell ref="D290:H290"/>
    <mergeCell ref="D291:H291"/>
    <mergeCell ref="D292:H292"/>
    <mergeCell ref="D293:H293"/>
    <mergeCell ref="D317:H317"/>
    <mergeCell ref="D346:H346"/>
    <mergeCell ref="D353:H353"/>
    <mergeCell ref="D308:H308"/>
    <mergeCell ref="D309:H309"/>
    <mergeCell ref="D310:H310"/>
    <mergeCell ref="D311:H311"/>
    <mergeCell ref="D312:H312"/>
    <mergeCell ref="D313:H313"/>
    <mergeCell ref="D314:H314"/>
    <mergeCell ref="D315:H315"/>
    <mergeCell ref="D316:H316"/>
    <mergeCell ref="D329:H329"/>
    <mergeCell ref="D241:H241"/>
    <mergeCell ref="D242:H242"/>
    <mergeCell ref="D243:H243"/>
    <mergeCell ref="D244:H244"/>
    <mergeCell ref="D245:H245"/>
    <mergeCell ref="D236:H236"/>
    <mergeCell ref="D238:H238"/>
    <mergeCell ref="D239:H239"/>
    <mergeCell ref="D240:H240"/>
    <mergeCell ref="D224:H224"/>
    <mergeCell ref="D225:H225"/>
    <mergeCell ref="D226:H226"/>
    <mergeCell ref="D227:H227"/>
    <mergeCell ref="D228:H228"/>
    <mergeCell ref="D232:H232"/>
    <mergeCell ref="D233:H233"/>
    <mergeCell ref="D235:H235"/>
    <mergeCell ref="D237:H237"/>
    <mergeCell ref="D234:H234"/>
    <mergeCell ref="D219:H219"/>
    <mergeCell ref="D220:H220"/>
    <mergeCell ref="D221:H221"/>
    <mergeCell ref="D222:H222"/>
    <mergeCell ref="D223:H223"/>
    <mergeCell ref="D214:H214"/>
    <mergeCell ref="D215:H215"/>
    <mergeCell ref="D216:H216"/>
    <mergeCell ref="D217:H217"/>
    <mergeCell ref="D218:H218"/>
    <mergeCell ref="D209:H209"/>
    <mergeCell ref="D210:H210"/>
    <mergeCell ref="D211:H211"/>
    <mergeCell ref="D212:H212"/>
    <mergeCell ref="D213:H213"/>
    <mergeCell ref="D207:H207"/>
    <mergeCell ref="D208:H208"/>
    <mergeCell ref="D180:H180"/>
    <mergeCell ref="D181:H181"/>
    <mergeCell ref="D182:H182"/>
    <mergeCell ref="D183:H183"/>
    <mergeCell ref="D206:H206"/>
    <mergeCell ref="D201:H201"/>
    <mergeCell ref="D202:H202"/>
    <mergeCell ref="D203:H203"/>
    <mergeCell ref="D204:H204"/>
    <mergeCell ref="D205:H205"/>
    <mergeCell ref="D184:H184"/>
    <mergeCell ref="D186:H186"/>
    <mergeCell ref="D185:H185"/>
    <mergeCell ref="D187:H187"/>
    <mergeCell ref="D188:H188"/>
    <mergeCell ref="D189:H189"/>
    <mergeCell ref="D190:H190"/>
    <mergeCell ref="D191:H191"/>
    <mergeCell ref="D192:H192"/>
    <mergeCell ref="D193:H193"/>
    <mergeCell ref="D194:H194"/>
    <mergeCell ref="D195:H195"/>
    <mergeCell ref="D175:H175"/>
    <mergeCell ref="D176:H176"/>
    <mergeCell ref="D177:H177"/>
    <mergeCell ref="D178:H178"/>
    <mergeCell ref="D179:H179"/>
    <mergeCell ref="D170:H170"/>
    <mergeCell ref="D171:H171"/>
    <mergeCell ref="D172:H172"/>
    <mergeCell ref="D173:H173"/>
    <mergeCell ref="D174:H174"/>
    <mergeCell ref="D165:H165"/>
    <mergeCell ref="D166:H166"/>
    <mergeCell ref="D167:H167"/>
    <mergeCell ref="D168:H168"/>
    <mergeCell ref="D169:H169"/>
    <mergeCell ref="D161:H161"/>
    <mergeCell ref="D162:H162"/>
    <mergeCell ref="D164:H164"/>
    <mergeCell ref="D142:H142"/>
    <mergeCell ref="D143:H143"/>
    <mergeCell ref="D153:H153"/>
    <mergeCell ref="D154:H154"/>
    <mergeCell ref="D155:H155"/>
    <mergeCell ref="D156:H156"/>
    <mergeCell ref="D157:H157"/>
    <mergeCell ref="D158:H158"/>
    <mergeCell ref="D159:H159"/>
    <mergeCell ref="D160:H160"/>
    <mergeCell ref="D163:H163"/>
    <mergeCell ref="D148:H148"/>
    <mergeCell ref="D149:H149"/>
    <mergeCell ref="D150:H150"/>
    <mergeCell ref="D151:H151"/>
    <mergeCell ref="D152:H152"/>
    <mergeCell ref="D141:H141"/>
    <mergeCell ref="D144:H144"/>
    <mergeCell ref="D145:H145"/>
    <mergeCell ref="D146:H146"/>
    <mergeCell ref="D147:H147"/>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97:H97"/>
    <mergeCell ref="D99:H99"/>
    <mergeCell ref="D100:H100"/>
    <mergeCell ref="D101:H101"/>
    <mergeCell ref="D102:H102"/>
    <mergeCell ref="D104:H104"/>
    <mergeCell ref="D105:H105"/>
    <mergeCell ref="D106:H106"/>
    <mergeCell ref="D107:H107"/>
    <mergeCell ref="D103:H103"/>
    <mergeCell ref="D98:H98"/>
    <mergeCell ref="D395:H395"/>
    <mergeCell ref="D85:H85"/>
    <mergeCell ref="D86:H86"/>
    <mergeCell ref="D87:H87"/>
    <mergeCell ref="D88:H88"/>
    <mergeCell ref="D89:H89"/>
    <mergeCell ref="D77:H77"/>
    <mergeCell ref="D78:H78"/>
    <mergeCell ref="D81:H81"/>
    <mergeCell ref="D82:H82"/>
    <mergeCell ref="D84:H84"/>
    <mergeCell ref="D111:H111"/>
    <mergeCell ref="D112:H112"/>
    <mergeCell ref="D113:H113"/>
    <mergeCell ref="D114:H114"/>
    <mergeCell ref="D115:H115"/>
    <mergeCell ref="D108:H108"/>
    <mergeCell ref="D90:H90"/>
    <mergeCell ref="D91:H91"/>
    <mergeCell ref="D92:H92"/>
    <mergeCell ref="D93:H93"/>
    <mergeCell ref="D94:H94"/>
    <mergeCell ref="D95:H95"/>
    <mergeCell ref="D96:H96"/>
    <mergeCell ref="E1:F1"/>
    <mergeCell ref="E2:F2"/>
    <mergeCell ref="E3:F3"/>
    <mergeCell ref="D59:H59"/>
    <mergeCell ref="D60:H60"/>
    <mergeCell ref="D61:H61"/>
    <mergeCell ref="D62:H62"/>
    <mergeCell ref="D63:H63"/>
    <mergeCell ref="D64:H64"/>
    <mergeCell ref="D20:G23"/>
    <mergeCell ref="D65:H65"/>
    <mergeCell ref="D66:H66"/>
    <mergeCell ref="D67:H67"/>
    <mergeCell ref="D68:H68"/>
    <mergeCell ref="D69:H69"/>
    <mergeCell ref="D407:H407"/>
    <mergeCell ref="D408:H408"/>
    <mergeCell ref="D409:H409"/>
    <mergeCell ref="D410:H410"/>
    <mergeCell ref="D400:H400"/>
    <mergeCell ref="D403:H403"/>
    <mergeCell ref="D404:H404"/>
    <mergeCell ref="D405:H405"/>
    <mergeCell ref="D406:H406"/>
    <mergeCell ref="D70:H70"/>
    <mergeCell ref="D71:H71"/>
    <mergeCell ref="D72:H72"/>
    <mergeCell ref="D73:H73"/>
    <mergeCell ref="D74:H74"/>
    <mergeCell ref="D396:H396"/>
    <mergeCell ref="D397:H397"/>
    <mergeCell ref="D398:H398"/>
    <mergeCell ref="D399:H399"/>
    <mergeCell ref="D393:H393"/>
    <mergeCell ref="D278:H278"/>
    <mergeCell ref="D265:H265"/>
    <mergeCell ref="D266:H266"/>
    <mergeCell ref="D267:H267"/>
    <mergeCell ref="D268:H268"/>
    <mergeCell ref="D250:H250"/>
    <mergeCell ref="D251:H251"/>
    <mergeCell ref="D252:H252"/>
    <mergeCell ref="D253:H253"/>
    <mergeCell ref="D254:H254"/>
    <mergeCell ref="D255:H255"/>
    <mergeCell ref="D256:H256"/>
    <mergeCell ref="D257:H257"/>
    <mergeCell ref="D258:H258"/>
    <mergeCell ref="D328:H328"/>
    <mergeCell ref="D334:H334"/>
    <mergeCell ref="D335:H335"/>
    <mergeCell ref="D336:H336"/>
    <mergeCell ref="D337:H337"/>
    <mergeCell ref="D259:H259"/>
    <mergeCell ref="D261:H261"/>
    <mergeCell ref="D262:H262"/>
    <mergeCell ref="D300:H300"/>
    <mergeCell ref="D303:H303"/>
    <mergeCell ref="D260:H260"/>
    <mergeCell ref="D270:H270"/>
    <mergeCell ref="D271:H271"/>
    <mergeCell ref="D272:H272"/>
    <mergeCell ref="D273:H273"/>
    <mergeCell ref="D279:H279"/>
    <mergeCell ref="D280:H280"/>
    <mergeCell ref="D281:H281"/>
    <mergeCell ref="D282:H282"/>
    <mergeCell ref="D283:H283"/>
    <mergeCell ref="D274:H274"/>
    <mergeCell ref="D275:H275"/>
    <mergeCell ref="D276:H276"/>
    <mergeCell ref="D277:H277"/>
  </mergeCells>
  <pageMargins left="0.82677165354330695" right="0.196850393700787" top="0.196850393700787" bottom="0.39370078740157499" header="0.118110236220472" footer="0.118110236220472"/>
  <pageSetup paperSize="9" scale="99" fitToHeight="58" orientation="portrait" r:id="rId1"/>
  <rowBreaks count="3" manualBreakCount="3">
    <brk id="57" min="2" max="7" man="1"/>
    <brk id="395" min="2" max="7" man="1"/>
    <brk id="400" min="2"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5"/>
  <sheetViews>
    <sheetView view="pageBreakPreview" topLeftCell="B112" zoomScaleNormal="100" zoomScaleSheetLayoutView="100" workbookViewId="0">
      <selection activeCell="H523" sqref="H523"/>
    </sheetView>
  </sheetViews>
  <sheetFormatPr defaultColWidth="9.140625" defaultRowHeight="12.75"/>
  <cols>
    <col min="1" max="1" width="3.5703125" style="455" hidden="1" customWidth="1"/>
    <col min="2" max="2" width="5.28515625" style="636" customWidth="1"/>
    <col min="3" max="3" width="40" style="471" customWidth="1"/>
    <col min="4" max="4" width="13.5703125" style="471" customWidth="1"/>
    <col min="5" max="5" width="8.42578125" style="470" bestFit="1" customWidth="1"/>
    <col min="6" max="6" width="8.28515625" style="562" customWidth="1"/>
    <col min="7" max="7" width="8.140625" style="1126" customWidth="1"/>
    <col min="8" max="8" width="7.28515625" style="1139" customWidth="1"/>
    <col min="9" max="9" width="17.140625" style="454" hidden="1" customWidth="1"/>
    <col min="10" max="10" width="9.140625" style="454"/>
    <col min="11" max="16384" width="9.140625" style="455"/>
  </cols>
  <sheetData>
    <row r="1" spans="2:8" ht="12" customHeight="1">
      <c r="B1" s="1284" t="s">
        <v>1404</v>
      </c>
      <c r="C1" s="1284"/>
      <c r="D1" s="1284"/>
      <c r="E1" s="1284"/>
      <c r="F1" s="1284"/>
      <c r="G1" s="1285" t="s">
        <v>1405</v>
      </c>
      <c r="H1" s="1285"/>
    </row>
    <row r="2" spans="2:8" ht="12" customHeight="1">
      <c r="B2" s="1284" t="s">
        <v>1406</v>
      </c>
      <c r="C2" s="1284"/>
      <c r="D2" s="1284"/>
      <c r="E2" s="1284"/>
      <c r="F2" s="1284"/>
      <c r="G2" s="1285" t="s">
        <v>1405</v>
      </c>
      <c r="H2" s="1285"/>
    </row>
    <row r="3" spans="2:8" ht="12" customHeight="1">
      <c r="B3" s="1284" t="s">
        <v>1407</v>
      </c>
      <c r="C3" s="1284"/>
      <c r="D3" s="1284"/>
      <c r="E3" s="1284"/>
      <c r="F3" s="1284"/>
      <c r="G3" s="1285" t="s">
        <v>1405</v>
      </c>
      <c r="H3" s="1285"/>
    </row>
    <row r="4" spans="2:8" ht="12" customHeight="1">
      <c r="B4" s="1284" t="s">
        <v>1405</v>
      </c>
      <c r="C4" s="1284"/>
      <c r="D4" s="1284"/>
      <c r="E4" s="1284"/>
      <c r="F4" s="1284"/>
      <c r="H4" s="1133"/>
    </row>
    <row r="5" spans="2:8" ht="12" customHeight="1">
      <c r="B5" s="1288" t="s">
        <v>1405</v>
      </c>
      <c r="C5" s="1289"/>
      <c r="D5" s="1289"/>
      <c r="E5" s="1289"/>
      <c r="F5" s="1289"/>
      <c r="G5" s="1290" t="s">
        <v>1408</v>
      </c>
      <c r="H5" s="1290"/>
    </row>
    <row r="6" spans="2:8" ht="12" customHeight="1">
      <c r="B6" s="1291" t="s">
        <v>1405</v>
      </c>
      <c r="C6" s="1291"/>
      <c r="D6" s="1291"/>
      <c r="E6" s="1291"/>
      <c r="F6" s="1291"/>
      <c r="G6" s="1290" t="s">
        <v>1409</v>
      </c>
      <c r="H6" s="1290"/>
    </row>
    <row r="7" spans="2:8" ht="12" customHeight="1">
      <c r="B7" s="1292" t="s">
        <v>1410</v>
      </c>
      <c r="C7" s="1292"/>
      <c r="D7" s="1292"/>
      <c r="E7" s="1292"/>
      <c r="F7" s="1292"/>
      <c r="G7" s="1293" t="s">
        <v>1411</v>
      </c>
      <c r="H7" s="1293"/>
    </row>
    <row r="8" spans="2:8" ht="12" customHeight="1">
      <c r="B8" s="456"/>
      <c r="C8" s="457"/>
      <c r="D8" s="641"/>
      <c r="E8" s="458"/>
      <c r="F8" s="459"/>
      <c r="G8" s="1127"/>
      <c r="H8" s="1134"/>
    </row>
    <row r="9" spans="2:8" ht="12" customHeight="1">
      <c r="B9" s="456"/>
      <c r="C9" s="457"/>
      <c r="D9" s="641"/>
      <c r="E9" s="458"/>
      <c r="F9" s="459"/>
      <c r="G9" s="1127"/>
      <c r="H9" s="1134"/>
    </row>
    <row r="10" spans="2:8" ht="12" customHeight="1">
      <c r="B10" s="456"/>
      <c r="C10" s="457"/>
      <c r="D10" s="641"/>
      <c r="E10" s="458"/>
      <c r="F10" s="459"/>
      <c r="G10" s="1127"/>
      <c r="H10" s="1134"/>
    </row>
    <row r="11" spans="2:8" ht="12" customHeight="1">
      <c r="B11" s="456"/>
      <c r="C11" s="457"/>
      <c r="D11" s="641"/>
      <c r="E11" s="458"/>
      <c r="F11" s="459"/>
      <c r="G11" s="1127"/>
      <c r="H11" s="1134"/>
    </row>
    <row r="12" spans="2:8" ht="12" customHeight="1">
      <c r="B12" s="456"/>
      <c r="C12" s="457"/>
      <c r="D12" s="641"/>
      <c r="E12" s="458"/>
      <c r="F12" s="459"/>
      <c r="G12" s="1127"/>
      <c r="H12" s="1134"/>
    </row>
    <row r="14" spans="2:8" ht="30" customHeight="1">
      <c r="B14" s="460"/>
      <c r="C14" s="1294" t="s">
        <v>1412</v>
      </c>
      <c r="D14" s="1294"/>
      <c r="E14" s="1294"/>
      <c r="F14" s="1294"/>
      <c r="G14" s="1294"/>
      <c r="H14" s="1135"/>
    </row>
    <row r="15" spans="2:8">
      <c r="B15" s="460"/>
      <c r="C15" s="461"/>
      <c r="D15" s="461"/>
      <c r="E15" s="462"/>
      <c r="F15" s="463"/>
      <c r="G15" s="591"/>
      <c r="H15" s="1135"/>
    </row>
    <row r="16" spans="2:8">
      <c r="B16" s="460"/>
      <c r="C16" s="461"/>
      <c r="D16" s="461"/>
      <c r="E16" s="462"/>
      <c r="F16" s="463"/>
      <c r="G16" s="591"/>
      <c r="H16" s="1135"/>
    </row>
    <row r="17" spans="2:8">
      <c r="B17" s="460"/>
      <c r="C17" s="461"/>
      <c r="D17" s="461"/>
      <c r="E17" s="462"/>
      <c r="F17" s="463"/>
      <c r="G17" s="591"/>
      <c r="H17" s="1135"/>
    </row>
    <row r="18" spans="2:8">
      <c r="B18" s="460"/>
      <c r="C18" s="356"/>
      <c r="D18" s="356"/>
      <c r="E18" s="462"/>
      <c r="F18" s="463"/>
      <c r="G18" s="591"/>
      <c r="H18" s="1135"/>
    </row>
    <row r="19" spans="2:8">
      <c r="B19" s="460"/>
      <c r="C19" s="356"/>
      <c r="D19" s="356"/>
      <c r="E19" s="462"/>
      <c r="F19" s="463"/>
      <c r="G19" s="591"/>
      <c r="H19" s="1135"/>
    </row>
    <row r="20" spans="2:8">
      <c r="B20" s="460"/>
      <c r="C20" s="356"/>
      <c r="D20" s="356"/>
      <c r="E20" s="462"/>
      <c r="F20" s="463"/>
      <c r="G20" s="591"/>
      <c r="H20" s="1135"/>
    </row>
    <row r="21" spans="2:8">
      <c r="B21" s="460"/>
      <c r="C21" s="356"/>
      <c r="D21" s="356"/>
      <c r="E21" s="462"/>
      <c r="F21" s="463"/>
      <c r="G21" s="591"/>
      <c r="H21" s="1135"/>
    </row>
    <row r="22" spans="2:8">
      <c r="B22" s="460"/>
      <c r="C22" s="465"/>
      <c r="D22" s="465"/>
      <c r="E22" s="462"/>
      <c r="F22" s="463"/>
      <c r="G22" s="591"/>
      <c r="H22" s="1135"/>
    </row>
    <row r="23" spans="2:8">
      <c r="B23" s="460"/>
      <c r="C23" s="465"/>
      <c r="D23" s="465"/>
      <c r="E23" s="462"/>
      <c r="F23" s="463"/>
      <c r="G23" s="591"/>
      <c r="H23" s="1135"/>
    </row>
    <row r="24" spans="2:8">
      <c r="B24" s="460"/>
      <c r="C24" s="356"/>
      <c r="D24" s="356"/>
      <c r="E24" s="462"/>
      <c r="F24" s="463"/>
      <c r="G24" s="591"/>
      <c r="H24" s="1135"/>
    </row>
    <row r="25" spans="2:8">
      <c r="B25" s="460"/>
      <c r="C25" s="465"/>
      <c r="D25" s="465"/>
      <c r="E25" s="462"/>
      <c r="F25" s="463"/>
      <c r="G25" s="591"/>
      <c r="H25" s="1135"/>
    </row>
    <row r="26" spans="2:8">
      <c r="B26" s="460"/>
      <c r="C26" s="465"/>
      <c r="D26" s="465"/>
      <c r="E26" s="462"/>
      <c r="F26" s="463"/>
      <c r="G26" s="591"/>
      <c r="H26" s="1135"/>
    </row>
    <row r="27" spans="2:8">
      <c r="B27" s="460"/>
      <c r="C27" s="465"/>
      <c r="D27" s="465"/>
      <c r="E27" s="462"/>
      <c r="F27" s="463"/>
      <c r="G27" s="591"/>
      <c r="H27" s="1135"/>
    </row>
    <row r="28" spans="2:8">
      <c r="B28" s="460"/>
      <c r="C28" s="465"/>
      <c r="D28" s="465"/>
      <c r="E28" s="462"/>
      <c r="F28" s="463"/>
      <c r="G28" s="591"/>
      <c r="H28" s="1135"/>
    </row>
    <row r="29" spans="2:8">
      <c r="B29" s="460"/>
      <c r="C29" s="465"/>
      <c r="D29" s="465"/>
      <c r="E29" s="462"/>
      <c r="F29" s="463"/>
      <c r="G29" s="591"/>
      <c r="H29" s="1135"/>
    </row>
    <row r="30" spans="2:8">
      <c r="B30" s="460"/>
      <c r="C30" s="466" t="s">
        <v>1413</v>
      </c>
      <c r="D30" s="466"/>
      <c r="E30" s="462"/>
      <c r="F30" s="463"/>
      <c r="G30" s="591"/>
      <c r="H30" s="1135"/>
    </row>
    <row r="31" spans="2:8">
      <c r="B31" s="460"/>
      <c r="C31" s="467"/>
      <c r="D31" s="467"/>
      <c r="E31" s="462"/>
      <c r="F31" s="463"/>
      <c r="G31" s="591"/>
      <c r="H31" s="1135"/>
    </row>
    <row r="32" spans="2:8">
      <c r="B32" s="460"/>
      <c r="C32" s="467" t="s">
        <v>1414</v>
      </c>
      <c r="D32" s="467"/>
      <c r="E32" s="462"/>
      <c r="F32" s="463"/>
      <c r="G32" s="591"/>
      <c r="H32" s="1135"/>
    </row>
    <row r="33" spans="2:8">
      <c r="B33" s="460"/>
      <c r="C33" s="465"/>
      <c r="D33" s="465"/>
      <c r="E33" s="462"/>
      <c r="F33" s="463"/>
      <c r="G33" s="591"/>
      <c r="H33" s="1135"/>
    </row>
    <row r="34" spans="2:8">
      <c r="B34" s="468"/>
      <c r="C34" s="381"/>
      <c r="D34" s="381"/>
      <c r="E34" s="462"/>
      <c r="F34" s="463"/>
      <c r="G34" s="591"/>
      <c r="H34" s="1135"/>
    </row>
    <row r="35" spans="2:8">
      <c r="B35" s="460"/>
      <c r="C35" s="465"/>
      <c r="D35" s="465"/>
      <c r="E35" s="462"/>
      <c r="F35" s="463"/>
      <c r="G35" s="591"/>
      <c r="H35" s="1135"/>
    </row>
    <row r="36" spans="2:8">
      <c r="B36" s="460"/>
      <c r="C36" s="381"/>
      <c r="D36" s="381"/>
      <c r="E36" s="469"/>
      <c r="F36" s="1295"/>
      <c r="G36" s="1296"/>
      <c r="H36" s="1296"/>
    </row>
    <row r="37" spans="2:8">
      <c r="B37" s="460"/>
      <c r="C37" s="381"/>
      <c r="D37" s="381"/>
      <c r="E37" s="462"/>
      <c r="F37" s="463"/>
      <c r="G37" s="591"/>
      <c r="H37" s="1135"/>
    </row>
    <row r="38" spans="2:8">
      <c r="B38" s="460"/>
      <c r="C38" s="381"/>
      <c r="D38" s="381"/>
      <c r="E38" s="469"/>
      <c r="F38" s="1295"/>
      <c r="G38" s="1296"/>
      <c r="H38" s="1296"/>
    </row>
    <row r="39" spans="2:8">
      <c r="B39" s="460"/>
      <c r="C39" s="381"/>
      <c r="D39" s="381"/>
      <c r="F39" s="463"/>
      <c r="G39" s="591"/>
      <c r="H39" s="1135"/>
    </row>
    <row r="40" spans="2:8">
      <c r="B40" s="460"/>
      <c r="C40" s="381"/>
      <c r="D40" s="381"/>
      <c r="E40" s="469"/>
      <c r="F40" s="1295"/>
      <c r="G40" s="1296"/>
      <c r="H40" s="1296"/>
    </row>
    <row r="41" spans="2:8">
      <c r="B41" s="460"/>
      <c r="C41" s="465"/>
      <c r="D41" s="465"/>
      <c r="F41" s="463"/>
      <c r="G41" s="591"/>
      <c r="H41" s="1135"/>
    </row>
    <row r="42" spans="2:8">
      <c r="B42" s="460"/>
      <c r="E42" s="469"/>
      <c r="F42" s="1295"/>
      <c r="G42" s="1296"/>
      <c r="H42" s="1296"/>
    </row>
    <row r="43" spans="2:8">
      <c r="B43" s="460"/>
      <c r="C43" s="465"/>
      <c r="D43" s="465"/>
      <c r="E43" s="462"/>
      <c r="F43" s="1286"/>
      <c r="G43" s="1287"/>
      <c r="H43" s="1287"/>
    </row>
    <row r="57" spans="2:8" ht="12" customHeight="1">
      <c r="B57" s="1284" t="s">
        <v>1404</v>
      </c>
      <c r="C57" s="1284"/>
      <c r="D57" s="1284"/>
      <c r="E57" s="1284"/>
      <c r="F57" s="1284"/>
      <c r="G57" s="1285" t="s">
        <v>1405</v>
      </c>
      <c r="H57" s="1285"/>
    </row>
    <row r="58" spans="2:8" ht="12" customHeight="1">
      <c r="B58" s="1284" t="s">
        <v>1406</v>
      </c>
      <c r="C58" s="1284"/>
      <c r="D58" s="1284"/>
      <c r="E58" s="1284"/>
      <c r="F58" s="1284"/>
      <c r="G58" s="1285" t="s">
        <v>1405</v>
      </c>
      <c r="H58" s="1285"/>
    </row>
    <row r="59" spans="2:8" ht="12" customHeight="1">
      <c r="B59" s="1284" t="s">
        <v>1407</v>
      </c>
      <c r="C59" s="1284"/>
      <c r="D59" s="1284"/>
      <c r="E59" s="1284"/>
      <c r="F59" s="1284"/>
      <c r="G59" s="1285" t="s">
        <v>1405</v>
      </c>
      <c r="H59" s="1285"/>
    </row>
    <row r="60" spans="2:8" ht="12" customHeight="1">
      <c r="B60" s="1284" t="s">
        <v>1405</v>
      </c>
      <c r="C60" s="1284"/>
      <c r="D60" s="1284"/>
      <c r="E60" s="1284"/>
      <c r="F60" s="1284"/>
      <c r="H60" s="1133"/>
    </row>
    <row r="61" spans="2:8" ht="12" customHeight="1">
      <c r="B61" s="1288" t="s">
        <v>1405</v>
      </c>
      <c r="C61" s="1289"/>
      <c r="D61" s="1289"/>
      <c r="E61" s="1289"/>
      <c r="F61" s="1289"/>
      <c r="G61" s="1290" t="s">
        <v>1408</v>
      </c>
      <c r="H61" s="1290"/>
    </row>
    <row r="62" spans="2:8" ht="12" customHeight="1">
      <c r="B62" s="1291" t="s">
        <v>1405</v>
      </c>
      <c r="C62" s="1291"/>
      <c r="D62" s="1291"/>
      <c r="E62" s="1291"/>
      <c r="F62" s="1291"/>
      <c r="G62" s="1290" t="s">
        <v>1409</v>
      </c>
      <c r="H62" s="1290"/>
    </row>
    <row r="63" spans="2:8" ht="12" customHeight="1">
      <c r="B63" s="1292" t="s">
        <v>1410</v>
      </c>
      <c r="C63" s="1292"/>
      <c r="D63" s="1292"/>
      <c r="E63" s="1292"/>
      <c r="F63" s="1292"/>
      <c r="G63" s="1293" t="s">
        <v>1411</v>
      </c>
      <c r="H63" s="1293"/>
    </row>
    <row r="64" spans="2:8" ht="24">
      <c r="B64" s="723" t="s">
        <v>1415</v>
      </c>
      <c r="C64" s="724" t="s">
        <v>1416</v>
      </c>
      <c r="D64" s="725" t="s">
        <v>1841</v>
      </c>
      <c r="E64" s="726" t="s">
        <v>1417</v>
      </c>
      <c r="F64" s="727" t="s">
        <v>1418</v>
      </c>
      <c r="G64" s="1128" t="s">
        <v>1419</v>
      </c>
      <c r="H64" s="1136" t="s">
        <v>1420</v>
      </c>
    </row>
    <row r="65" spans="1:8">
      <c r="B65" s="472"/>
      <c r="C65" s="473"/>
      <c r="D65" s="473"/>
      <c r="E65" s="474"/>
      <c r="F65" s="475"/>
      <c r="G65" s="546"/>
      <c r="H65" s="464"/>
    </row>
    <row r="66" spans="1:8" s="454" customFormat="1">
      <c r="A66" s="455"/>
      <c r="B66" s="477" t="s">
        <v>1421</v>
      </c>
      <c r="C66" s="1297" t="s">
        <v>1422</v>
      </c>
      <c r="D66" s="1297"/>
      <c r="E66" s="1297"/>
      <c r="F66" s="1297"/>
      <c r="G66" s="546"/>
      <c r="H66" s="464"/>
    </row>
    <row r="67" spans="1:8" s="454" customFormat="1">
      <c r="A67" s="455"/>
      <c r="B67" s="477"/>
      <c r="C67" s="478"/>
      <c r="D67" s="639"/>
      <c r="E67" s="479"/>
      <c r="F67" s="480"/>
      <c r="G67" s="546"/>
      <c r="H67" s="464"/>
    </row>
    <row r="68" spans="1:8" s="454" customFormat="1">
      <c r="A68" s="455"/>
      <c r="B68" s="1298" t="s">
        <v>1423</v>
      </c>
      <c r="C68" s="1298"/>
      <c r="D68" s="640"/>
      <c r="E68" s="479"/>
      <c r="F68" s="480"/>
      <c r="G68" s="546"/>
      <c r="H68" s="464"/>
    </row>
    <row r="69" spans="1:8" s="454" customFormat="1">
      <c r="A69" s="455"/>
      <c r="B69" s="477"/>
      <c r="C69" s="481"/>
      <c r="D69" s="481"/>
      <c r="E69" s="479"/>
      <c r="F69" s="480"/>
      <c r="G69" s="546"/>
      <c r="H69" s="464"/>
    </row>
    <row r="70" spans="1:8" s="454" customFormat="1" ht="48">
      <c r="A70" s="455"/>
      <c r="B70" s="482" t="s">
        <v>495</v>
      </c>
      <c r="C70" s="481" t="s">
        <v>1424</v>
      </c>
      <c r="D70" s="481"/>
      <c r="E70" s="479"/>
      <c r="F70" s="480"/>
      <c r="G70" s="546"/>
      <c r="H70" s="464"/>
    </row>
    <row r="71" spans="1:8" s="454" customFormat="1">
      <c r="A71" s="455"/>
      <c r="B71" s="477"/>
      <c r="C71" s="481"/>
      <c r="D71" s="481"/>
      <c r="E71" s="479"/>
      <c r="F71" s="480"/>
      <c r="G71" s="546"/>
      <c r="H71" s="464"/>
    </row>
    <row r="72" spans="1:8" s="454" customFormat="1" ht="42" customHeight="1">
      <c r="A72" s="455"/>
      <c r="B72" s="482" t="s">
        <v>495</v>
      </c>
      <c r="C72" s="481" t="s">
        <v>1425</v>
      </c>
      <c r="D72" s="481"/>
      <c r="E72" s="479"/>
      <c r="F72" s="480"/>
      <c r="G72" s="546"/>
      <c r="H72" s="464"/>
    </row>
    <row r="73" spans="1:8" s="454" customFormat="1">
      <c r="A73" s="455"/>
      <c r="B73" s="477"/>
      <c r="C73" s="481"/>
      <c r="D73" s="481"/>
      <c r="E73" s="479"/>
      <c r="F73" s="480"/>
      <c r="G73" s="546"/>
      <c r="H73" s="464"/>
    </row>
    <row r="74" spans="1:8" s="454" customFormat="1" ht="104.25" customHeight="1">
      <c r="A74" s="455"/>
      <c r="B74" s="482" t="s">
        <v>495</v>
      </c>
      <c r="C74" s="481" t="s">
        <v>1426</v>
      </c>
      <c r="D74" s="481"/>
      <c r="E74" s="479"/>
      <c r="F74" s="480"/>
      <c r="G74" s="546"/>
      <c r="H74" s="464"/>
    </row>
    <row r="75" spans="1:8" s="454" customFormat="1">
      <c r="A75" s="455"/>
      <c r="B75" s="472"/>
      <c r="C75" s="483"/>
      <c r="D75" s="483"/>
      <c r="E75" s="484"/>
      <c r="F75" s="475"/>
      <c r="G75" s="591"/>
      <c r="H75" s="464"/>
    </row>
    <row r="76" spans="1:8" s="454" customFormat="1">
      <c r="A76" s="455"/>
      <c r="B76" s="472"/>
      <c r="C76" s="483"/>
      <c r="D76" s="483"/>
      <c r="E76" s="484"/>
      <c r="F76" s="475"/>
      <c r="G76" s="591"/>
      <c r="H76" s="464"/>
    </row>
    <row r="77" spans="1:8" s="454" customFormat="1">
      <c r="A77" s="455"/>
      <c r="B77" s="472" t="s">
        <v>716</v>
      </c>
      <c r="C77" s="483" t="s">
        <v>1427</v>
      </c>
      <c r="D77" s="483"/>
      <c r="E77" s="484"/>
      <c r="F77" s="475"/>
      <c r="G77" s="591"/>
      <c r="H77" s="464"/>
    </row>
    <row r="78" spans="1:8" s="454" customFormat="1">
      <c r="A78" s="455"/>
      <c r="B78" s="472"/>
      <c r="C78" s="483"/>
      <c r="D78" s="483"/>
      <c r="E78" s="484"/>
      <c r="F78" s="475"/>
      <c r="G78" s="591"/>
      <c r="H78" s="464"/>
    </row>
    <row r="79" spans="1:8" s="454" customFormat="1">
      <c r="A79" s="455"/>
      <c r="B79" s="485">
        <v>1</v>
      </c>
      <c r="C79" s="486" t="s">
        <v>1428</v>
      </c>
      <c r="D79" s="486"/>
      <c r="E79" s="487"/>
      <c r="F79" s="488"/>
      <c r="G79" s="591"/>
      <c r="H79" s="464"/>
    </row>
    <row r="80" spans="1:8" s="454" customFormat="1">
      <c r="A80" s="455"/>
      <c r="B80" s="485"/>
      <c r="C80" s="489"/>
      <c r="D80" s="489"/>
      <c r="E80" s="487"/>
      <c r="F80" s="488"/>
      <c r="G80" s="591"/>
      <c r="H80" s="464"/>
    </row>
    <row r="81" spans="1:8" s="454" customFormat="1" ht="60">
      <c r="A81" s="455"/>
      <c r="B81" s="485"/>
      <c r="C81" s="490" t="s">
        <v>1429</v>
      </c>
      <c r="D81" s="1142"/>
      <c r="E81" s="491" t="s">
        <v>11</v>
      </c>
      <c r="F81" s="492">
        <v>1</v>
      </c>
      <c r="G81" s="1208"/>
      <c r="H81" s="464">
        <f>SUM(F81*G81)</f>
        <v>0</v>
      </c>
    </row>
    <row r="82" spans="1:8" s="454" customFormat="1" ht="48">
      <c r="A82" s="455"/>
      <c r="B82" s="485"/>
      <c r="C82" s="493" t="s">
        <v>1430</v>
      </c>
      <c r="D82" s="1143"/>
      <c r="E82" s="491" t="s">
        <v>11</v>
      </c>
      <c r="F82" s="492">
        <v>1</v>
      </c>
      <c r="G82" s="1208"/>
      <c r="H82" s="464">
        <f>SUM(F82*G82)</f>
        <v>0</v>
      </c>
    </row>
    <row r="83" spans="1:8" s="454" customFormat="1" ht="24" customHeight="1">
      <c r="A83" s="455"/>
      <c r="B83" s="485"/>
      <c r="C83" s="494" t="s">
        <v>1431</v>
      </c>
      <c r="D83" s="1144"/>
      <c r="E83" s="491"/>
      <c r="F83" s="492"/>
      <c r="G83" s="1208"/>
      <c r="H83" s="464"/>
    </row>
    <row r="84" spans="1:8" s="454" customFormat="1" ht="24">
      <c r="A84" s="455"/>
      <c r="B84" s="485"/>
      <c r="C84" s="495" t="s">
        <v>1432</v>
      </c>
      <c r="D84" s="1145"/>
      <c r="E84" s="491" t="s">
        <v>11</v>
      </c>
      <c r="F84" s="492">
        <v>1</v>
      </c>
      <c r="G84" s="1208"/>
      <c r="H84" s="464">
        <f>SUM(F84*G84)</f>
        <v>0</v>
      </c>
    </row>
    <row r="85" spans="1:8" s="454" customFormat="1" ht="24" customHeight="1">
      <c r="A85" s="455"/>
      <c r="B85" s="485"/>
      <c r="C85" s="494" t="s">
        <v>1431</v>
      </c>
      <c r="D85" s="1144"/>
      <c r="E85" s="491"/>
      <c r="F85" s="492"/>
      <c r="G85" s="1208"/>
      <c r="H85" s="464"/>
    </row>
    <row r="86" spans="1:8" s="454" customFormat="1" ht="24">
      <c r="A86" s="455"/>
      <c r="B86" s="485"/>
      <c r="C86" s="495" t="s">
        <v>1433</v>
      </c>
      <c r="D86" s="1145"/>
      <c r="E86" s="491" t="s">
        <v>11</v>
      </c>
      <c r="F86" s="492">
        <v>1</v>
      </c>
      <c r="G86" s="1208"/>
      <c r="H86" s="464">
        <f>SUM(F86*G86)</f>
        <v>0</v>
      </c>
    </row>
    <row r="87" spans="1:8" s="454" customFormat="1" ht="23.25" customHeight="1">
      <c r="A87" s="455"/>
      <c r="B87" s="485"/>
      <c r="C87" s="494" t="s">
        <v>1431</v>
      </c>
      <c r="D87" s="1144"/>
      <c r="E87" s="491"/>
      <c r="F87" s="492"/>
      <c r="G87" s="1208"/>
      <c r="H87" s="464"/>
    </row>
    <row r="88" spans="1:8" s="454" customFormat="1">
      <c r="A88" s="455"/>
      <c r="B88" s="485"/>
      <c r="C88" s="495" t="s">
        <v>1434</v>
      </c>
      <c r="D88" s="1145"/>
      <c r="E88" s="491" t="s">
        <v>11</v>
      </c>
      <c r="F88" s="492">
        <v>3</v>
      </c>
      <c r="G88" s="1208"/>
      <c r="H88" s="464">
        <f>SUM(F88*G88)</f>
        <v>0</v>
      </c>
    </row>
    <row r="89" spans="1:8" s="454" customFormat="1" ht="24">
      <c r="A89" s="455"/>
      <c r="B89" s="485"/>
      <c r="C89" s="495" t="s">
        <v>1435</v>
      </c>
      <c r="D89" s="1145"/>
      <c r="E89" s="491" t="s">
        <v>11</v>
      </c>
      <c r="F89" s="492">
        <v>1</v>
      </c>
      <c r="G89" s="1208"/>
      <c r="H89" s="464">
        <f>SUM(F89*G89)</f>
        <v>0</v>
      </c>
    </row>
    <row r="90" spans="1:8" s="454" customFormat="1" ht="27" customHeight="1">
      <c r="A90" s="455"/>
      <c r="B90" s="485"/>
      <c r="C90" s="494" t="s">
        <v>1431</v>
      </c>
      <c r="D90" s="1144"/>
      <c r="E90" s="491"/>
      <c r="F90" s="492"/>
      <c r="G90" s="1208"/>
      <c r="H90" s="464"/>
    </row>
    <row r="91" spans="1:8" s="454" customFormat="1" ht="24">
      <c r="A91" s="455"/>
      <c r="B91" s="485"/>
      <c r="C91" s="495" t="s">
        <v>1436</v>
      </c>
      <c r="D91" s="1145"/>
      <c r="E91" s="491" t="s">
        <v>11</v>
      </c>
      <c r="F91" s="492">
        <v>2</v>
      </c>
      <c r="G91" s="1208"/>
      <c r="H91" s="464">
        <f>SUM(F91*G91)</f>
        <v>0</v>
      </c>
    </row>
    <row r="92" spans="1:8" s="454" customFormat="1" ht="27" customHeight="1">
      <c r="A92" s="455"/>
      <c r="B92" s="485"/>
      <c r="C92" s="494" t="s">
        <v>1431</v>
      </c>
      <c r="D92" s="1144"/>
      <c r="E92" s="491"/>
      <c r="F92" s="492"/>
      <c r="G92" s="1208"/>
      <c r="H92" s="464"/>
    </row>
    <row r="93" spans="1:8" s="454" customFormat="1" ht="24">
      <c r="A93" s="455"/>
      <c r="B93" s="485"/>
      <c r="C93" s="495" t="s">
        <v>1437</v>
      </c>
      <c r="D93" s="1145"/>
      <c r="E93" s="491" t="s">
        <v>11</v>
      </c>
      <c r="F93" s="492">
        <v>1</v>
      </c>
      <c r="G93" s="1208"/>
      <c r="H93" s="464">
        <f>SUM(F93*G93)</f>
        <v>0</v>
      </c>
    </row>
    <row r="94" spans="1:8" s="454" customFormat="1" ht="27" customHeight="1">
      <c r="A94" s="455"/>
      <c r="B94" s="485"/>
      <c r="C94" s="494" t="s">
        <v>1431</v>
      </c>
      <c r="D94" s="1144"/>
      <c r="E94" s="491"/>
      <c r="F94" s="492"/>
      <c r="G94" s="1208"/>
      <c r="H94" s="464"/>
    </row>
    <row r="95" spans="1:8" s="454" customFormat="1" ht="24">
      <c r="A95" s="455"/>
      <c r="B95" s="485"/>
      <c r="C95" s="495" t="s">
        <v>1438</v>
      </c>
      <c r="D95" s="1145"/>
      <c r="E95" s="491" t="s">
        <v>11</v>
      </c>
      <c r="F95" s="492">
        <v>3</v>
      </c>
      <c r="G95" s="1208"/>
      <c r="H95" s="464">
        <f>SUM(F95*G95)</f>
        <v>0</v>
      </c>
    </row>
    <row r="96" spans="1:8" s="454" customFormat="1" ht="26.25" customHeight="1">
      <c r="A96" s="455"/>
      <c r="B96" s="485"/>
      <c r="C96" s="494" t="s">
        <v>1431</v>
      </c>
      <c r="D96" s="1144"/>
      <c r="E96" s="491"/>
      <c r="F96" s="492"/>
      <c r="G96" s="1208"/>
      <c r="H96" s="464"/>
    </row>
    <row r="97" spans="1:8" s="454" customFormat="1" ht="24">
      <c r="A97" s="455"/>
      <c r="B97" s="485"/>
      <c r="C97" s="493" t="s">
        <v>1439</v>
      </c>
      <c r="D97" s="1143"/>
      <c r="E97" s="491" t="s">
        <v>11</v>
      </c>
      <c r="F97" s="492">
        <v>1</v>
      </c>
      <c r="G97" s="1208"/>
      <c r="H97" s="464">
        <f>SUM(F97*G97)</f>
        <v>0</v>
      </c>
    </row>
    <row r="98" spans="1:8" s="454" customFormat="1" ht="24.75" customHeight="1">
      <c r="A98" s="455"/>
      <c r="B98" s="485"/>
      <c r="C98" s="494" t="s">
        <v>1431</v>
      </c>
      <c r="D98" s="1144"/>
      <c r="E98" s="491"/>
      <c r="F98" s="492"/>
      <c r="G98" s="1208"/>
      <c r="H98" s="464"/>
    </row>
    <row r="99" spans="1:8" s="454" customFormat="1">
      <c r="A99" s="455"/>
      <c r="B99" s="496"/>
      <c r="C99" s="497"/>
      <c r="D99" s="1146"/>
      <c r="E99" s="491"/>
      <c r="F99" s="492"/>
      <c r="G99" s="1208"/>
      <c r="H99" s="464"/>
    </row>
    <row r="100" spans="1:8" s="454" customFormat="1" ht="48">
      <c r="A100" s="455"/>
      <c r="B100" s="485"/>
      <c r="C100" s="490" t="s">
        <v>1440</v>
      </c>
      <c r="D100" s="1142"/>
      <c r="E100" s="491" t="s">
        <v>11</v>
      </c>
      <c r="F100" s="492">
        <v>1</v>
      </c>
      <c r="G100" s="1208"/>
      <c r="H100" s="464">
        <f>SUM(F100*G100)</f>
        <v>0</v>
      </c>
    </row>
    <row r="101" spans="1:8" s="454" customFormat="1">
      <c r="A101" s="455"/>
      <c r="B101" s="485"/>
      <c r="C101" s="498"/>
      <c r="D101" s="1147"/>
      <c r="E101" s="499"/>
      <c r="F101" s="500"/>
      <c r="G101" s="1209"/>
      <c r="H101" s="1137"/>
    </row>
    <row r="102" spans="1:8" s="454" customFormat="1">
      <c r="A102" s="455"/>
      <c r="B102" s="485"/>
      <c r="C102" s="501" t="s">
        <v>1441</v>
      </c>
      <c r="D102" s="1148"/>
      <c r="E102" s="502" t="s">
        <v>21</v>
      </c>
      <c r="F102" s="503">
        <v>1</v>
      </c>
      <c r="G102" s="1208"/>
      <c r="H102" s="464">
        <f>SUM(F102*G102)</f>
        <v>0</v>
      </c>
    </row>
    <row r="103" spans="1:8" s="454" customFormat="1">
      <c r="A103" s="455"/>
      <c r="B103" s="472"/>
      <c r="C103" s="483"/>
      <c r="D103" s="1149"/>
      <c r="E103" s="484"/>
      <c r="F103" s="475"/>
      <c r="G103" s="1208"/>
      <c r="H103" s="464"/>
    </row>
    <row r="104" spans="1:8" s="454" customFormat="1">
      <c r="A104" s="455"/>
      <c r="B104" s="472"/>
      <c r="C104" s="483"/>
      <c r="D104" s="1149"/>
      <c r="E104" s="484"/>
      <c r="F104" s="475"/>
      <c r="G104" s="1208"/>
      <c r="H104" s="464"/>
    </row>
    <row r="105" spans="1:8" s="454" customFormat="1">
      <c r="A105" s="455"/>
      <c r="B105" s="485">
        <v>2</v>
      </c>
      <c r="C105" s="504" t="s">
        <v>1442</v>
      </c>
      <c r="D105" s="1150"/>
      <c r="E105" s="491"/>
      <c r="F105" s="492"/>
      <c r="G105" s="1210"/>
      <c r="H105" s="505"/>
    </row>
    <row r="106" spans="1:8" s="454" customFormat="1" ht="60">
      <c r="A106" s="455"/>
      <c r="B106" s="496"/>
      <c r="C106" s="490" t="s">
        <v>1429</v>
      </c>
      <c r="D106" s="1142"/>
      <c r="E106" s="491" t="s">
        <v>11</v>
      </c>
      <c r="F106" s="492">
        <v>1</v>
      </c>
      <c r="G106" s="1210"/>
      <c r="H106" s="464">
        <f t="shared" ref="H106:H107" si="0">SUM(F106*G106)</f>
        <v>0</v>
      </c>
    </row>
    <row r="107" spans="1:8" s="454" customFormat="1">
      <c r="A107" s="455"/>
      <c r="B107" s="496"/>
      <c r="C107" s="495" t="s">
        <v>1443</v>
      </c>
      <c r="D107" s="1145"/>
      <c r="E107" s="491" t="s">
        <v>11</v>
      </c>
      <c r="F107" s="492">
        <v>1</v>
      </c>
      <c r="G107" s="1210"/>
      <c r="H107" s="464">
        <f t="shared" si="0"/>
        <v>0</v>
      </c>
    </row>
    <row r="108" spans="1:8" s="454" customFormat="1" ht="25.5" customHeight="1">
      <c r="A108" s="455"/>
      <c r="B108" s="496"/>
      <c r="C108" s="494" t="s">
        <v>1431</v>
      </c>
      <c r="D108" s="1144"/>
      <c r="E108" s="491"/>
      <c r="F108" s="492"/>
      <c r="G108" s="1210"/>
      <c r="H108" s="505"/>
    </row>
    <row r="109" spans="1:8" s="454" customFormat="1" ht="24">
      <c r="A109" s="455"/>
      <c r="B109" s="496"/>
      <c r="C109" s="495" t="s">
        <v>1444</v>
      </c>
      <c r="D109" s="1145"/>
      <c r="E109" s="491" t="s">
        <v>11</v>
      </c>
      <c r="F109" s="492">
        <v>1</v>
      </c>
      <c r="G109" s="1210"/>
      <c r="H109" s="464">
        <f>SUM(F109*G109)</f>
        <v>0</v>
      </c>
    </row>
    <row r="110" spans="1:8" s="454" customFormat="1" ht="27.75" customHeight="1">
      <c r="A110" s="455"/>
      <c r="B110" s="496"/>
      <c r="C110" s="494" t="s">
        <v>1431</v>
      </c>
      <c r="D110" s="1144"/>
      <c r="E110" s="491"/>
      <c r="F110" s="492"/>
      <c r="G110" s="1210"/>
      <c r="H110" s="505"/>
    </row>
    <row r="111" spans="1:8" s="454" customFormat="1" ht="24">
      <c r="A111" s="455"/>
      <c r="B111" s="496"/>
      <c r="C111" s="497" t="s">
        <v>1445</v>
      </c>
      <c r="D111" s="1146"/>
      <c r="E111" s="491" t="s">
        <v>11</v>
      </c>
      <c r="F111" s="492">
        <v>1</v>
      </c>
      <c r="G111" s="1210"/>
      <c r="H111" s="464">
        <f>SUM(F111*G111)</f>
        <v>0</v>
      </c>
    </row>
    <row r="112" spans="1:8" s="454" customFormat="1" ht="25.5" customHeight="1">
      <c r="A112" s="455"/>
      <c r="B112" s="496"/>
      <c r="C112" s="494" t="s">
        <v>1431</v>
      </c>
      <c r="D112" s="1144"/>
      <c r="E112" s="491"/>
      <c r="F112" s="492"/>
      <c r="G112" s="1210"/>
      <c r="H112" s="505"/>
    </row>
    <row r="113" spans="1:8" s="454" customFormat="1" ht="24">
      <c r="A113" s="455"/>
      <c r="B113" s="496"/>
      <c r="C113" s="497" t="s">
        <v>1446</v>
      </c>
      <c r="D113" s="1146"/>
      <c r="E113" s="491" t="s">
        <v>11</v>
      </c>
      <c r="F113" s="492">
        <v>4</v>
      </c>
      <c r="G113" s="1210"/>
      <c r="H113" s="464">
        <f>SUM(F113*G113)</f>
        <v>0</v>
      </c>
    </row>
    <row r="114" spans="1:8" s="454" customFormat="1" ht="26.25" customHeight="1">
      <c r="A114" s="455"/>
      <c r="B114" s="496"/>
      <c r="C114" s="494" t="s">
        <v>1431</v>
      </c>
      <c r="D114" s="1144"/>
      <c r="E114" s="491"/>
      <c r="F114" s="492"/>
      <c r="G114" s="1210"/>
      <c r="H114" s="505"/>
    </row>
    <row r="115" spans="1:8" s="454" customFormat="1" ht="24">
      <c r="A115" s="455"/>
      <c r="B115" s="496"/>
      <c r="C115" s="497" t="s">
        <v>1447</v>
      </c>
      <c r="D115" s="1146"/>
      <c r="E115" s="491" t="s">
        <v>11</v>
      </c>
      <c r="F115" s="492">
        <v>1</v>
      </c>
      <c r="G115" s="1210"/>
      <c r="H115" s="464">
        <f>SUM(F115*G115)</f>
        <v>0</v>
      </c>
    </row>
    <row r="116" spans="1:8" s="454" customFormat="1" ht="24.75" customHeight="1">
      <c r="A116" s="455"/>
      <c r="B116" s="496"/>
      <c r="C116" s="494" t="s">
        <v>1431</v>
      </c>
      <c r="D116" s="1144"/>
      <c r="E116" s="491"/>
      <c r="F116" s="492"/>
      <c r="G116" s="1210"/>
      <c r="H116" s="505"/>
    </row>
    <row r="117" spans="1:8" s="454" customFormat="1" ht="24">
      <c r="A117" s="455"/>
      <c r="B117" s="496"/>
      <c r="C117" s="497" t="s">
        <v>1448</v>
      </c>
      <c r="D117" s="1146"/>
      <c r="E117" s="491" t="s">
        <v>11</v>
      </c>
      <c r="F117" s="492">
        <v>41</v>
      </c>
      <c r="G117" s="1210"/>
      <c r="H117" s="464">
        <f>SUM(F117*G117)</f>
        <v>0</v>
      </c>
    </row>
    <row r="118" spans="1:8" s="454" customFormat="1" ht="26.25" customHeight="1">
      <c r="A118" s="455"/>
      <c r="B118" s="496"/>
      <c r="C118" s="494" t="s">
        <v>1431</v>
      </c>
      <c r="D118" s="1144"/>
      <c r="E118" s="491"/>
      <c r="F118" s="492"/>
      <c r="G118" s="1210"/>
      <c r="H118" s="505"/>
    </row>
    <row r="119" spans="1:8" s="454" customFormat="1" ht="24">
      <c r="A119" s="455"/>
      <c r="B119" s="496"/>
      <c r="C119" s="497" t="s">
        <v>1449</v>
      </c>
      <c r="D119" s="1146"/>
      <c r="E119" s="491" t="s">
        <v>11</v>
      </c>
      <c r="F119" s="492">
        <v>10</v>
      </c>
      <c r="G119" s="1210"/>
      <c r="H119" s="464">
        <f>SUM(F119*G119)</f>
        <v>0</v>
      </c>
    </row>
    <row r="120" spans="1:8" s="454" customFormat="1" ht="25.5" customHeight="1">
      <c r="A120" s="455"/>
      <c r="B120" s="496"/>
      <c r="C120" s="494" t="s">
        <v>1431</v>
      </c>
      <c r="D120" s="1144"/>
      <c r="E120" s="491"/>
      <c r="F120" s="492"/>
      <c r="G120" s="1210"/>
      <c r="H120" s="505"/>
    </row>
    <row r="121" spans="1:8" s="454" customFormat="1" ht="25.5" customHeight="1">
      <c r="A121" s="455"/>
      <c r="B121" s="496"/>
      <c r="C121" s="497" t="s">
        <v>1450</v>
      </c>
      <c r="D121" s="1146"/>
      <c r="E121" s="491" t="s">
        <v>11</v>
      </c>
      <c r="F121" s="492">
        <v>1</v>
      </c>
      <c r="G121" s="1210"/>
      <c r="H121" s="464">
        <f>SUM(F121*G121)</f>
        <v>0</v>
      </c>
    </row>
    <row r="122" spans="1:8" s="454" customFormat="1" ht="25.5" customHeight="1">
      <c r="A122" s="455"/>
      <c r="B122" s="496"/>
      <c r="C122" s="494" t="s">
        <v>1431</v>
      </c>
      <c r="D122" s="1144"/>
      <c r="E122" s="491"/>
      <c r="F122" s="492"/>
      <c r="G122" s="1210"/>
      <c r="H122" s="505"/>
    </row>
    <row r="123" spans="1:8" s="454" customFormat="1" ht="25.5" customHeight="1">
      <c r="A123" s="455"/>
      <c r="B123" s="496"/>
      <c r="C123" s="497" t="s">
        <v>1451</v>
      </c>
      <c r="D123" s="1146"/>
      <c r="E123" s="491" t="s">
        <v>11</v>
      </c>
      <c r="F123" s="492">
        <v>1</v>
      </c>
      <c r="G123" s="1210"/>
      <c r="H123" s="464">
        <f>SUM(F123*G123)</f>
        <v>0</v>
      </c>
    </row>
    <row r="124" spans="1:8" s="454" customFormat="1" ht="25.5" customHeight="1">
      <c r="A124" s="455"/>
      <c r="B124" s="496"/>
      <c r="C124" s="494" t="s">
        <v>1431</v>
      </c>
      <c r="D124" s="1144"/>
      <c r="E124" s="491"/>
      <c r="F124" s="492"/>
      <c r="G124" s="1210"/>
      <c r="H124" s="505"/>
    </row>
    <row r="125" spans="1:8" s="454" customFormat="1" ht="25.5" customHeight="1">
      <c r="A125" s="455"/>
      <c r="B125" s="496"/>
      <c r="C125" s="497" t="s">
        <v>1452</v>
      </c>
      <c r="D125" s="1146"/>
      <c r="E125" s="491" t="s">
        <v>11</v>
      </c>
      <c r="F125" s="492">
        <v>6</v>
      </c>
      <c r="G125" s="1210"/>
      <c r="H125" s="464">
        <f>SUM(F125*G125)</f>
        <v>0</v>
      </c>
    </row>
    <row r="126" spans="1:8" s="454" customFormat="1" ht="25.5" customHeight="1">
      <c r="A126" s="455"/>
      <c r="B126" s="496"/>
      <c r="C126" s="494" t="s">
        <v>1431</v>
      </c>
      <c r="D126" s="1144"/>
      <c r="E126" s="491"/>
      <c r="F126" s="492"/>
      <c r="G126" s="1210"/>
      <c r="H126" s="505"/>
    </row>
    <row r="127" spans="1:8" s="454" customFormat="1" ht="25.5" customHeight="1">
      <c r="A127" s="455"/>
      <c r="B127" s="496"/>
      <c r="C127" s="497" t="s">
        <v>1453</v>
      </c>
      <c r="D127" s="1146"/>
      <c r="E127" s="491" t="s">
        <v>11</v>
      </c>
      <c r="F127" s="492">
        <v>1</v>
      </c>
      <c r="G127" s="1210"/>
      <c r="H127" s="464">
        <f>SUM(F127*G127)</f>
        <v>0</v>
      </c>
    </row>
    <row r="128" spans="1:8" s="454" customFormat="1" ht="25.5" customHeight="1">
      <c r="A128" s="455"/>
      <c r="B128" s="496"/>
      <c r="C128" s="494" t="s">
        <v>1431</v>
      </c>
      <c r="D128" s="1144"/>
      <c r="E128" s="491"/>
      <c r="F128" s="492"/>
      <c r="G128" s="1210"/>
      <c r="H128" s="505"/>
    </row>
    <row r="129" spans="1:8" s="454" customFormat="1" ht="24">
      <c r="A129" s="455"/>
      <c r="B129" s="496"/>
      <c r="C129" s="497" t="s">
        <v>1454</v>
      </c>
      <c r="D129" s="1146"/>
      <c r="E129" s="491" t="s">
        <v>11</v>
      </c>
      <c r="F129" s="492">
        <v>1</v>
      </c>
      <c r="G129" s="1210"/>
      <c r="H129" s="464">
        <f>SUM(F129*G129)</f>
        <v>0</v>
      </c>
    </row>
    <row r="130" spans="1:8" s="454" customFormat="1" ht="26.25" customHeight="1">
      <c r="A130" s="455"/>
      <c r="B130" s="496"/>
      <c r="C130" s="494" t="s">
        <v>1431</v>
      </c>
      <c r="D130" s="1144"/>
      <c r="E130" s="491"/>
      <c r="F130" s="492"/>
      <c r="G130" s="1210"/>
      <c r="H130" s="505"/>
    </row>
    <row r="131" spans="1:8" s="454" customFormat="1">
      <c r="A131" s="455"/>
      <c r="B131" s="496"/>
      <c r="C131" s="497" t="s">
        <v>1455</v>
      </c>
      <c r="D131" s="1146"/>
      <c r="E131" s="491" t="s">
        <v>11</v>
      </c>
      <c r="F131" s="492">
        <v>1</v>
      </c>
      <c r="G131" s="1210"/>
      <c r="H131" s="464">
        <f>SUM(F131*G131)</f>
        <v>0</v>
      </c>
    </row>
    <row r="132" spans="1:8" s="454" customFormat="1" ht="22.5" customHeight="1">
      <c r="A132" s="455"/>
      <c r="B132" s="496"/>
      <c r="C132" s="494" t="s">
        <v>1431</v>
      </c>
      <c r="D132" s="1144"/>
      <c r="E132" s="491"/>
      <c r="F132" s="492"/>
      <c r="G132" s="1210"/>
      <c r="H132" s="505"/>
    </row>
    <row r="133" spans="1:8" s="454" customFormat="1">
      <c r="A133" s="455"/>
      <c r="B133" s="496"/>
      <c r="C133" s="497"/>
      <c r="D133" s="1146"/>
      <c r="E133" s="491"/>
      <c r="F133" s="492"/>
      <c r="G133" s="1210"/>
      <c r="H133" s="505"/>
    </row>
    <row r="134" spans="1:8" s="454" customFormat="1" ht="48">
      <c r="A134" s="455"/>
      <c r="B134" s="496"/>
      <c r="C134" s="490" t="s">
        <v>1440</v>
      </c>
      <c r="D134" s="1142"/>
      <c r="E134" s="487" t="s">
        <v>21</v>
      </c>
      <c r="F134" s="492">
        <v>1</v>
      </c>
      <c r="G134" s="1210"/>
      <c r="H134" s="464">
        <f>SUM(F134*G134)</f>
        <v>0</v>
      </c>
    </row>
    <row r="135" spans="1:8" s="454" customFormat="1">
      <c r="A135" s="455"/>
      <c r="B135" s="496"/>
      <c r="C135" s="498"/>
      <c r="D135" s="1147"/>
      <c r="E135" s="499"/>
      <c r="F135" s="500"/>
      <c r="G135" s="1211"/>
      <c r="H135" s="506"/>
    </row>
    <row r="136" spans="1:8" s="454" customFormat="1">
      <c r="A136" s="455"/>
      <c r="B136" s="496"/>
      <c r="C136" s="490" t="s">
        <v>1456</v>
      </c>
      <c r="D136" s="1142"/>
      <c r="E136" s="487" t="s">
        <v>21</v>
      </c>
      <c r="F136" s="492">
        <v>1</v>
      </c>
      <c r="G136" s="1210"/>
      <c r="H136" s="464">
        <f>SUM(F136*G136)</f>
        <v>0</v>
      </c>
    </row>
    <row r="137" spans="1:8" s="454" customFormat="1">
      <c r="A137" s="455"/>
      <c r="B137" s="472"/>
      <c r="C137" s="483"/>
      <c r="D137" s="1149"/>
      <c r="E137" s="484"/>
      <c r="F137" s="475"/>
      <c r="G137" s="1208"/>
      <c r="H137" s="464"/>
    </row>
    <row r="138" spans="1:8" s="454" customFormat="1">
      <c r="A138" s="455"/>
      <c r="B138" s="485">
        <v>3</v>
      </c>
      <c r="C138" s="504" t="s">
        <v>1457</v>
      </c>
      <c r="D138" s="1150"/>
      <c r="E138" s="491"/>
      <c r="F138" s="492"/>
      <c r="G138" s="1210"/>
      <c r="H138" s="505"/>
    </row>
    <row r="139" spans="1:8" s="454" customFormat="1" ht="60">
      <c r="A139" s="455"/>
      <c r="B139" s="496"/>
      <c r="C139" s="490" t="s">
        <v>1458</v>
      </c>
      <c r="D139" s="1142"/>
      <c r="E139" s="491" t="s">
        <v>11</v>
      </c>
      <c r="F139" s="492">
        <v>1</v>
      </c>
      <c r="G139" s="1210"/>
      <c r="H139" s="464">
        <f>SUM(F139*G139)</f>
        <v>0</v>
      </c>
    </row>
    <row r="140" spans="1:8" s="454" customFormat="1">
      <c r="A140" s="455"/>
      <c r="B140" s="496"/>
      <c r="C140" s="495" t="s">
        <v>1459</v>
      </c>
      <c r="D140" s="1145"/>
      <c r="E140" s="491" t="s">
        <v>11</v>
      </c>
      <c r="F140" s="492">
        <v>1</v>
      </c>
      <c r="G140" s="1210"/>
      <c r="H140" s="464">
        <f>SUM(F140*G140)</f>
        <v>0</v>
      </c>
    </row>
    <row r="141" spans="1:8" s="454" customFormat="1" ht="27.75" customHeight="1">
      <c r="A141" s="455"/>
      <c r="B141" s="496"/>
      <c r="C141" s="494" t="s">
        <v>1431</v>
      </c>
      <c r="D141" s="1144"/>
      <c r="E141" s="491"/>
      <c r="F141" s="492"/>
      <c r="G141" s="1210"/>
      <c r="H141" s="505"/>
    </row>
    <row r="142" spans="1:8" s="454" customFormat="1" ht="24">
      <c r="A142" s="455"/>
      <c r="B142" s="496"/>
      <c r="C142" s="495" t="s">
        <v>1444</v>
      </c>
      <c r="D142" s="1145"/>
      <c r="E142" s="491" t="s">
        <v>11</v>
      </c>
      <c r="F142" s="492">
        <v>1</v>
      </c>
      <c r="G142" s="1210"/>
      <c r="H142" s="464">
        <f>SUM(F142*G142)</f>
        <v>0</v>
      </c>
    </row>
    <row r="143" spans="1:8" s="454" customFormat="1" ht="27" customHeight="1">
      <c r="A143" s="455"/>
      <c r="B143" s="496"/>
      <c r="C143" s="494" t="s">
        <v>1431</v>
      </c>
      <c r="D143" s="1144"/>
      <c r="E143" s="491"/>
      <c r="F143" s="492"/>
      <c r="G143" s="1210"/>
      <c r="H143" s="505"/>
    </row>
    <row r="144" spans="1:8" s="454" customFormat="1" ht="24">
      <c r="A144" s="455"/>
      <c r="B144" s="496"/>
      <c r="C144" s="497" t="s">
        <v>1446</v>
      </c>
      <c r="D144" s="1146"/>
      <c r="E144" s="491" t="s">
        <v>11</v>
      </c>
      <c r="F144" s="492">
        <v>2</v>
      </c>
      <c r="G144" s="1210"/>
      <c r="H144" s="464">
        <f>SUM(F144*G144)</f>
        <v>0</v>
      </c>
    </row>
    <row r="145" spans="1:8" s="454" customFormat="1" ht="26.25" customHeight="1">
      <c r="A145" s="455"/>
      <c r="B145" s="496"/>
      <c r="C145" s="494" t="s">
        <v>1431</v>
      </c>
      <c r="D145" s="1144"/>
      <c r="E145" s="491"/>
      <c r="F145" s="492"/>
      <c r="G145" s="1210"/>
      <c r="H145" s="505"/>
    </row>
    <row r="146" spans="1:8" s="454" customFormat="1" ht="24">
      <c r="A146" s="455"/>
      <c r="B146" s="496"/>
      <c r="C146" s="497" t="s">
        <v>1448</v>
      </c>
      <c r="D146" s="1146"/>
      <c r="E146" s="491" t="s">
        <v>11</v>
      </c>
      <c r="F146" s="492">
        <v>20</v>
      </c>
      <c r="G146" s="1210"/>
      <c r="H146" s="464">
        <f>SUM(F146*G146)</f>
        <v>0</v>
      </c>
    </row>
    <row r="147" spans="1:8" s="454" customFormat="1" ht="26.25" customHeight="1">
      <c r="A147" s="455"/>
      <c r="B147" s="496"/>
      <c r="C147" s="494" t="s">
        <v>1431</v>
      </c>
      <c r="D147" s="1144"/>
      <c r="E147" s="491"/>
      <c r="F147" s="492"/>
      <c r="G147" s="1210"/>
      <c r="H147" s="505"/>
    </row>
    <row r="148" spans="1:8" s="454" customFormat="1" ht="24">
      <c r="A148" s="455"/>
      <c r="B148" s="496"/>
      <c r="C148" s="497" t="s">
        <v>1449</v>
      </c>
      <c r="D148" s="1146"/>
      <c r="E148" s="491" t="s">
        <v>11</v>
      </c>
      <c r="F148" s="492">
        <v>6</v>
      </c>
      <c r="G148" s="1210"/>
      <c r="H148" s="464">
        <f>SUM(F148*G148)</f>
        <v>0</v>
      </c>
    </row>
    <row r="149" spans="1:8" s="454" customFormat="1" ht="24.75" customHeight="1">
      <c r="A149" s="455"/>
      <c r="B149" s="496"/>
      <c r="C149" s="494" t="s">
        <v>1431</v>
      </c>
      <c r="D149" s="1144"/>
      <c r="E149" s="491"/>
      <c r="F149" s="492"/>
      <c r="G149" s="1210"/>
      <c r="H149" s="505"/>
    </row>
    <row r="150" spans="1:8" s="454" customFormat="1" ht="24.75" customHeight="1">
      <c r="A150" s="455"/>
      <c r="B150" s="496"/>
      <c r="C150" s="497" t="s">
        <v>1460</v>
      </c>
      <c r="D150" s="1146"/>
      <c r="E150" s="491" t="s">
        <v>11</v>
      </c>
      <c r="F150" s="492">
        <v>1</v>
      </c>
      <c r="G150" s="1210"/>
      <c r="H150" s="464">
        <f>SUM(F150*G150)</f>
        <v>0</v>
      </c>
    </row>
    <row r="151" spans="1:8" s="454" customFormat="1" ht="24.75" customHeight="1">
      <c r="A151" s="455"/>
      <c r="B151" s="496"/>
      <c r="C151" s="494" t="s">
        <v>1431</v>
      </c>
      <c r="D151" s="1144"/>
      <c r="E151" s="491"/>
      <c r="F151" s="492"/>
      <c r="G151" s="1210"/>
      <c r="H151" s="505"/>
    </row>
    <row r="152" spans="1:8" s="454" customFormat="1" ht="24.75" customHeight="1">
      <c r="A152" s="455"/>
      <c r="B152" s="496"/>
      <c r="C152" s="497" t="s">
        <v>1455</v>
      </c>
      <c r="D152" s="1146"/>
      <c r="E152" s="491" t="s">
        <v>11</v>
      </c>
      <c r="F152" s="492">
        <v>1</v>
      </c>
      <c r="G152" s="1210"/>
      <c r="H152" s="464">
        <f>SUM(F152*G152)</f>
        <v>0</v>
      </c>
    </row>
    <row r="153" spans="1:8" s="454" customFormat="1" ht="24.75" customHeight="1">
      <c r="A153" s="455"/>
      <c r="B153" s="496"/>
      <c r="C153" s="494" t="s">
        <v>1431</v>
      </c>
      <c r="D153" s="1144"/>
      <c r="E153" s="491"/>
      <c r="F153" s="492"/>
      <c r="G153" s="1210"/>
      <c r="H153" s="505"/>
    </row>
    <row r="154" spans="1:8" s="454" customFormat="1" ht="48">
      <c r="A154" s="455"/>
      <c r="B154" s="496"/>
      <c r="C154" s="490" t="s">
        <v>1440</v>
      </c>
      <c r="D154" s="1142"/>
      <c r="E154" s="487" t="s">
        <v>21</v>
      </c>
      <c r="F154" s="492">
        <v>1</v>
      </c>
      <c r="G154" s="1210"/>
      <c r="H154" s="464">
        <f>SUM(F154*G154)</f>
        <v>0</v>
      </c>
    </row>
    <row r="155" spans="1:8" s="454" customFormat="1">
      <c r="A155" s="455"/>
      <c r="B155" s="496"/>
      <c r="C155" s="498"/>
      <c r="D155" s="1147"/>
      <c r="E155" s="499"/>
      <c r="F155" s="500"/>
      <c r="G155" s="1211"/>
      <c r="H155" s="506"/>
    </row>
    <row r="156" spans="1:8" s="454" customFormat="1">
      <c r="A156" s="455"/>
      <c r="B156" s="496"/>
      <c r="C156" s="490" t="s">
        <v>1461</v>
      </c>
      <c r="D156" s="1142"/>
      <c r="E156" s="487" t="s">
        <v>21</v>
      </c>
      <c r="F156" s="492">
        <v>1</v>
      </c>
      <c r="G156" s="1210"/>
      <c r="H156" s="464">
        <f>SUM(F156*G156)</f>
        <v>0</v>
      </c>
    </row>
    <row r="157" spans="1:8" s="454" customFormat="1">
      <c r="A157" s="455"/>
      <c r="B157" s="472"/>
      <c r="C157" s="483"/>
      <c r="D157" s="1149"/>
      <c r="E157" s="484"/>
      <c r="F157" s="475"/>
      <c r="G157" s="1208"/>
      <c r="H157" s="464"/>
    </row>
    <row r="158" spans="1:8" s="454" customFormat="1">
      <c r="A158" s="455"/>
      <c r="B158" s="485">
        <v>4</v>
      </c>
      <c r="C158" s="504" t="s">
        <v>1462</v>
      </c>
      <c r="D158" s="1150"/>
      <c r="E158" s="491"/>
      <c r="F158" s="492"/>
      <c r="G158" s="1210"/>
      <c r="H158" s="505"/>
    </row>
    <row r="159" spans="1:8" s="454" customFormat="1" ht="72">
      <c r="A159" s="455"/>
      <c r="B159" s="496"/>
      <c r="C159" s="490" t="s">
        <v>1463</v>
      </c>
      <c r="D159" s="1142"/>
      <c r="E159" s="491" t="s">
        <v>11</v>
      </c>
      <c r="F159" s="492">
        <v>1</v>
      </c>
      <c r="G159" s="1210"/>
      <c r="H159" s="464">
        <f t="shared" ref="H159:H160" si="1">SUM(F159*G159)</f>
        <v>0</v>
      </c>
    </row>
    <row r="160" spans="1:8" s="454" customFormat="1">
      <c r="A160" s="455"/>
      <c r="B160" s="496"/>
      <c r="C160" s="495" t="s">
        <v>1464</v>
      </c>
      <c r="D160" s="1145"/>
      <c r="E160" s="491" t="s">
        <v>11</v>
      </c>
      <c r="F160" s="492">
        <v>1</v>
      </c>
      <c r="G160" s="1210"/>
      <c r="H160" s="464">
        <f t="shared" si="1"/>
        <v>0</v>
      </c>
    </row>
    <row r="161" spans="1:8" s="454" customFormat="1" ht="25.5" customHeight="1">
      <c r="A161" s="455"/>
      <c r="B161" s="496"/>
      <c r="C161" s="494" t="s">
        <v>1431</v>
      </c>
      <c r="D161" s="1144"/>
      <c r="E161" s="491"/>
      <c r="F161" s="492"/>
      <c r="G161" s="1210"/>
      <c r="H161" s="505"/>
    </row>
    <row r="162" spans="1:8" s="454" customFormat="1" ht="24">
      <c r="A162" s="455"/>
      <c r="B162" s="496"/>
      <c r="C162" s="495" t="s">
        <v>1465</v>
      </c>
      <c r="D162" s="1145"/>
      <c r="E162" s="491" t="s">
        <v>11</v>
      </c>
      <c r="F162" s="492">
        <v>1</v>
      </c>
      <c r="G162" s="1210"/>
      <c r="H162" s="464">
        <f>SUM(F162*G162)</f>
        <v>0</v>
      </c>
    </row>
    <row r="163" spans="1:8" s="454" customFormat="1" ht="26.25" customHeight="1">
      <c r="A163" s="455"/>
      <c r="B163" s="496"/>
      <c r="C163" s="494" t="s">
        <v>1431</v>
      </c>
      <c r="D163" s="1144"/>
      <c r="E163" s="491"/>
      <c r="F163" s="492"/>
      <c r="G163" s="1210"/>
      <c r="H163" s="505"/>
    </row>
    <row r="164" spans="1:8" s="454" customFormat="1" ht="24">
      <c r="A164" s="455"/>
      <c r="B164" s="496"/>
      <c r="C164" s="497" t="s">
        <v>1446</v>
      </c>
      <c r="D164" s="1146"/>
      <c r="E164" s="491" t="s">
        <v>11</v>
      </c>
      <c r="F164" s="492">
        <v>3</v>
      </c>
      <c r="G164" s="1210"/>
      <c r="H164" s="464">
        <f>SUM(F164*G164)</f>
        <v>0</v>
      </c>
    </row>
    <row r="165" spans="1:8" s="454" customFormat="1" ht="24" customHeight="1">
      <c r="A165" s="455"/>
      <c r="B165" s="496"/>
      <c r="C165" s="494" t="s">
        <v>1431</v>
      </c>
      <c r="D165" s="1144"/>
      <c r="E165" s="491"/>
      <c r="F165" s="492"/>
      <c r="G165" s="1210"/>
      <c r="H165" s="505"/>
    </row>
    <row r="166" spans="1:8" s="454" customFormat="1" ht="24">
      <c r="A166" s="455"/>
      <c r="B166" s="496"/>
      <c r="C166" s="497" t="s">
        <v>1466</v>
      </c>
      <c r="D166" s="1146"/>
      <c r="E166" s="491" t="s">
        <v>11</v>
      </c>
      <c r="F166" s="492">
        <v>1</v>
      </c>
      <c r="G166" s="1210"/>
      <c r="H166" s="464">
        <f>SUM(F166*G166)</f>
        <v>0</v>
      </c>
    </row>
    <row r="167" spans="1:8" s="454" customFormat="1" ht="26.25" customHeight="1">
      <c r="A167" s="455"/>
      <c r="B167" s="496"/>
      <c r="C167" s="494" t="s">
        <v>1431</v>
      </c>
      <c r="D167" s="1144"/>
      <c r="E167" s="491"/>
      <c r="F167" s="492"/>
      <c r="G167" s="1210"/>
      <c r="H167" s="505"/>
    </row>
    <row r="168" spans="1:8" s="454" customFormat="1" ht="26.25" customHeight="1">
      <c r="A168" s="455"/>
      <c r="B168" s="496"/>
      <c r="C168" s="497" t="s">
        <v>1450</v>
      </c>
      <c r="D168" s="1146"/>
      <c r="E168" s="491" t="s">
        <v>11</v>
      </c>
      <c r="F168" s="492">
        <v>1</v>
      </c>
      <c r="G168" s="1210"/>
      <c r="H168" s="464">
        <f>SUM(F168*G168)</f>
        <v>0</v>
      </c>
    </row>
    <row r="169" spans="1:8" s="454" customFormat="1" ht="26.25" customHeight="1">
      <c r="A169" s="455"/>
      <c r="B169" s="496"/>
      <c r="C169" s="494" t="s">
        <v>1431</v>
      </c>
      <c r="D169" s="1144"/>
      <c r="E169" s="491"/>
      <c r="F169" s="492"/>
      <c r="G169" s="1210"/>
      <c r="H169" s="505"/>
    </row>
    <row r="170" spans="1:8" s="454" customFormat="1" ht="24">
      <c r="A170" s="455"/>
      <c r="B170" s="496"/>
      <c r="C170" s="497" t="s">
        <v>1448</v>
      </c>
      <c r="D170" s="1146"/>
      <c r="E170" s="491" t="s">
        <v>11</v>
      </c>
      <c r="F170" s="492">
        <v>28</v>
      </c>
      <c r="G170" s="1210"/>
      <c r="H170" s="464">
        <f>SUM(F170*G170)</f>
        <v>0</v>
      </c>
    </row>
    <row r="171" spans="1:8" s="454" customFormat="1" ht="27" customHeight="1">
      <c r="A171" s="455"/>
      <c r="B171" s="496"/>
      <c r="C171" s="494" t="s">
        <v>1431</v>
      </c>
      <c r="D171" s="1144"/>
      <c r="E171" s="491"/>
      <c r="F171" s="492"/>
      <c r="G171" s="1210"/>
      <c r="H171" s="505"/>
    </row>
    <row r="172" spans="1:8" s="454" customFormat="1" ht="24">
      <c r="A172" s="455"/>
      <c r="B172" s="496"/>
      <c r="C172" s="497" t="s">
        <v>1467</v>
      </c>
      <c r="D172" s="1146"/>
      <c r="E172" s="491" t="s">
        <v>11</v>
      </c>
      <c r="F172" s="492">
        <v>10</v>
      </c>
      <c r="G172" s="1210"/>
      <c r="H172" s="464">
        <f>SUM(F172*G172)</f>
        <v>0</v>
      </c>
    </row>
    <row r="173" spans="1:8" s="454" customFormat="1" ht="27" customHeight="1">
      <c r="A173" s="455"/>
      <c r="B173" s="496"/>
      <c r="C173" s="494" t="s">
        <v>1431</v>
      </c>
      <c r="D173" s="1144"/>
      <c r="E173" s="491"/>
      <c r="F173" s="492"/>
      <c r="G173" s="1210"/>
      <c r="H173" s="505"/>
    </row>
    <row r="174" spans="1:8" s="454" customFormat="1" ht="27" customHeight="1">
      <c r="A174" s="455"/>
      <c r="B174" s="496"/>
      <c r="C174" s="497" t="s">
        <v>1460</v>
      </c>
      <c r="D174" s="1146"/>
      <c r="E174" s="491" t="s">
        <v>11</v>
      </c>
      <c r="F174" s="492">
        <v>1</v>
      </c>
      <c r="G174" s="1210"/>
      <c r="H174" s="464">
        <f>SUM(F174*G174)</f>
        <v>0</v>
      </c>
    </row>
    <row r="175" spans="1:8" s="454" customFormat="1" ht="27" customHeight="1">
      <c r="A175" s="455"/>
      <c r="B175" s="496"/>
      <c r="C175" s="494" t="s">
        <v>1431</v>
      </c>
      <c r="D175" s="1144"/>
      <c r="E175" s="491"/>
      <c r="F175" s="492"/>
      <c r="G175" s="1210"/>
      <c r="H175" s="505"/>
    </row>
    <row r="176" spans="1:8" s="454" customFormat="1" ht="27" customHeight="1">
      <c r="A176" s="455"/>
      <c r="B176" s="496"/>
      <c r="C176" s="497" t="s">
        <v>1455</v>
      </c>
      <c r="D176" s="1146"/>
      <c r="E176" s="491" t="s">
        <v>11</v>
      </c>
      <c r="F176" s="492">
        <v>1</v>
      </c>
      <c r="G176" s="1210"/>
      <c r="H176" s="464">
        <f>SUM(F176*G176)</f>
        <v>0</v>
      </c>
    </row>
    <row r="177" spans="1:8" s="454" customFormat="1" ht="27" customHeight="1">
      <c r="A177" s="455"/>
      <c r="B177" s="496"/>
      <c r="C177" s="494" t="s">
        <v>1431</v>
      </c>
      <c r="D177" s="1144"/>
      <c r="E177" s="491"/>
      <c r="F177" s="492"/>
      <c r="G177" s="1210"/>
      <c r="H177" s="505"/>
    </row>
    <row r="178" spans="1:8" s="454" customFormat="1" ht="27" customHeight="1">
      <c r="A178" s="455"/>
      <c r="B178" s="496"/>
      <c r="C178" s="507" t="s">
        <v>1468</v>
      </c>
      <c r="D178" s="1144"/>
      <c r="E178" s="491" t="s">
        <v>11</v>
      </c>
      <c r="F178" s="492">
        <v>1</v>
      </c>
      <c r="G178" s="1210"/>
      <c r="H178" s="464">
        <f>SUM(F178*G178)</f>
        <v>0</v>
      </c>
    </row>
    <row r="179" spans="1:8" s="454" customFormat="1" ht="48">
      <c r="A179" s="455"/>
      <c r="B179" s="496"/>
      <c r="C179" s="490" t="s">
        <v>1440</v>
      </c>
      <c r="D179" s="1142"/>
      <c r="E179" s="487" t="s">
        <v>21</v>
      </c>
      <c r="F179" s="492">
        <v>1</v>
      </c>
      <c r="G179" s="1210"/>
      <c r="H179" s="464">
        <f>SUM(F179*G179)</f>
        <v>0</v>
      </c>
    </row>
    <row r="180" spans="1:8" s="454" customFormat="1">
      <c r="A180" s="455"/>
      <c r="B180" s="496"/>
      <c r="C180" s="498"/>
      <c r="D180" s="1147"/>
      <c r="E180" s="499"/>
      <c r="F180" s="500"/>
      <c r="G180" s="1211"/>
      <c r="H180" s="506"/>
    </row>
    <row r="181" spans="1:8" s="454" customFormat="1">
      <c r="A181" s="455"/>
      <c r="B181" s="496"/>
      <c r="C181" s="490" t="s">
        <v>1469</v>
      </c>
      <c r="D181" s="1142"/>
      <c r="E181" s="487" t="s">
        <v>21</v>
      </c>
      <c r="F181" s="492">
        <v>1</v>
      </c>
      <c r="G181" s="1210"/>
      <c r="H181" s="464">
        <f>SUM(F181*G181)</f>
        <v>0</v>
      </c>
    </row>
    <row r="182" spans="1:8" s="454" customFormat="1">
      <c r="A182" s="455"/>
      <c r="B182" s="496"/>
      <c r="C182" s="490"/>
      <c r="D182" s="1142"/>
      <c r="E182" s="487"/>
      <c r="F182" s="492"/>
      <c r="G182" s="1210"/>
      <c r="H182" s="505"/>
    </row>
    <row r="183" spans="1:8" s="454" customFormat="1">
      <c r="A183" s="455"/>
      <c r="B183" s="508"/>
      <c r="C183" s="509"/>
      <c r="D183" s="1151"/>
      <c r="E183" s="514"/>
      <c r="F183" s="510"/>
      <c r="G183" s="1208"/>
      <c r="H183" s="464"/>
    </row>
    <row r="184" spans="1:8" s="454" customFormat="1" ht="207" customHeight="1">
      <c r="A184" s="455"/>
      <c r="B184" s="511">
        <v>5</v>
      </c>
      <c r="C184" s="512" t="s">
        <v>1470</v>
      </c>
      <c r="D184" s="1152"/>
      <c r="E184" s="487"/>
      <c r="F184" s="487"/>
      <c r="G184" s="1212"/>
      <c r="H184" s="513"/>
    </row>
    <row r="185" spans="1:8" s="454" customFormat="1" ht="24">
      <c r="A185" s="455"/>
      <c r="B185" s="511"/>
      <c r="C185" s="512" t="s">
        <v>1471</v>
      </c>
      <c r="D185" s="1152"/>
      <c r="E185" s="514"/>
      <c r="F185" s="515"/>
      <c r="G185" s="1212"/>
      <c r="H185" s="513"/>
    </row>
    <row r="186" spans="1:8" s="454" customFormat="1" ht="60">
      <c r="A186" s="455"/>
      <c r="B186" s="511"/>
      <c r="C186" s="512" t="s">
        <v>1472</v>
      </c>
      <c r="D186" s="1152"/>
      <c r="E186" s="516" t="s">
        <v>11</v>
      </c>
      <c r="F186" s="517">
        <v>1</v>
      </c>
      <c r="G186" s="1212"/>
      <c r="H186" s="464">
        <f t="shared" ref="H186:H200" si="2">SUM(F186*G186)</f>
        <v>0</v>
      </c>
    </row>
    <row r="187" spans="1:8" s="454" customFormat="1" ht="24">
      <c r="A187" s="455"/>
      <c r="B187" s="511"/>
      <c r="C187" s="512" t="s">
        <v>1473</v>
      </c>
      <c r="D187" s="1152"/>
      <c r="E187" s="516" t="s">
        <v>11</v>
      </c>
      <c r="F187" s="517">
        <v>2</v>
      </c>
      <c r="G187" s="1212"/>
      <c r="H187" s="464">
        <f t="shared" si="2"/>
        <v>0</v>
      </c>
    </row>
    <row r="188" spans="1:8" s="454" customFormat="1" ht="24">
      <c r="A188" s="455"/>
      <c r="B188" s="511"/>
      <c r="C188" s="512" t="s">
        <v>1474</v>
      </c>
      <c r="D188" s="1152"/>
      <c r="E188" s="516" t="s">
        <v>11</v>
      </c>
      <c r="F188" s="517">
        <v>5</v>
      </c>
      <c r="G188" s="1212"/>
      <c r="H188" s="464">
        <f t="shared" si="2"/>
        <v>0</v>
      </c>
    </row>
    <row r="189" spans="1:8" s="454" customFormat="1" ht="48">
      <c r="A189" s="455"/>
      <c r="B189" s="511"/>
      <c r="C189" s="512" t="s">
        <v>1475</v>
      </c>
      <c r="D189" s="1152"/>
      <c r="E189" s="516" t="s">
        <v>11</v>
      </c>
      <c r="F189" s="517">
        <v>2</v>
      </c>
      <c r="G189" s="1212"/>
      <c r="H189" s="464">
        <f t="shared" si="2"/>
        <v>0</v>
      </c>
    </row>
    <row r="190" spans="1:8" s="454" customFormat="1" ht="48">
      <c r="A190" s="455"/>
      <c r="B190" s="511"/>
      <c r="C190" s="512" t="s">
        <v>1476</v>
      </c>
      <c r="D190" s="1152"/>
      <c r="E190" s="516" t="s">
        <v>11</v>
      </c>
      <c r="F190" s="517">
        <v>5</v>
      </c>
      <c r="G190" s="1212"/>
      <c r="H190" s="464">
        <f t="shared" si="2"/>
        <v>0</v>
      </c>
    </row>
    <row r="191" spans="1:8" s="454" customFormat="1" ht="24">
      <c r="A191" s="455"/>
      <c r="B191" s="511"/>
      <c r="C191" s="518" t="s">
        <v>1477</v>
      </c>
      <c r="D191" s="1153"/>
      <c r="E191" s="516" t="s">
        <v>11</v>
      </c>
      <c r="F191" s="517">
        <v>7</v>
      </c>
      <c r="G191" s="1212"/>
      <c r="H191" s="464">
        <f t="shared" si="2"/>
        <v>0</v>
      </c>
    </row>
    <row r="192" spans="1:8" s="454" customFormat="1">
      <c r="A192" s="455"/>
      <c r="B192" s="511"/>
      <c r="C192" s="518" t="s">
        <v>1478</v>
      </c>
      <c r="D192" s="1153"/>
      <c r="E192" s="516" t="s">
        <v>11</v>
      </c>
      <c r="F192" s="517">
        <v>2</v>
      </c>
      <c r="G192" s="1212"/>
      <c r="H192" s="464">
        <f t="shared" si="2"/>
        <v>0</v>
      </c>
    </row>
    <row r="193" spans="1:8" s="454" customFormat="1">
      <c r="A193" s="455"/>
      <c r="B193" s="511"/>
      <c r="C193" s="518" t="s">
        <v>1479</v>
      </c>
      <c r="D193" s="1153"/>
      <c r="E193" s="516" t="s">
        <v>11</v>
      </c>
      <c r="F193" s="517">
        <v>5</v>
      </c>
      <c r="G193" s="1212"/>
      <c r="H193" s="464">
        <f t="shared" si="2"/>
        <v>0</v>
      </c>
    </row>
    <row r="194" spans="1:8" s="454" customFormat="1" ht="36">
      <c r="A194" s="455"/>
      <c r="B194" s="511"/>
      <c r="C194" s="519" t="s">
        <v>1480</v>
      </c>
      <c r="D194" s="1154"/>
      <c r="E194" s="516" t="s">
        <v>11</v>
      </c>
      <c r="F194" s="517">
        <v>1</v>
      </c>
      <c r="G194" s="1212"/>
      <c r="H194" s="464">
        <f t="shared" si="2"/>
        <v>0</v>
      </c>
    </row>
    <row r="195" spans="1:8" s="454" customFormat="1" ht="24">
      <c r="A195" s="455"/>
      <c r="B195" s="511"/>
      <c r="C195" s="518" t="s">
        <v>1481</v>
      </c>
      <c r="D195" s="1153"/>
      <c r="E195" s="516" t="s">
        <v>11</v>
      </c>
      <c r="F195" s="517">
        <v>1</v>
      </c>
      <c r="G195" s="1212"/>
      <c r="H195" s="464">
        <f t="shared" si="2"/>
        <v>0</v>
      </c>
    </row>
    <row r="196" spans="1:8" s="454" customFormat="1" ht="24">
      <c r="A196" s="455"/>
      <c r="B196" s="511"/>
      <c r="C196" s="518" t="s">
        <v>1482</v>
      </c>
      <c r="D196" s="1153"/>
      <c r="E196" s="516" t="s">
        <v>11</v>
      </c>
      <c r="F196" s="517">
        <v>2</v>
      </c>
      <c r="G196" s="1212"/>
      <c r="H196" s="464">
        <f t="shared" si="2"/>
        <v>0</v>
      </c>
    </row>
    <row r="197" spans="1:8" s="454" customFormat="1" ht="24">
      <c r="A197" s="455"/>
      <c r="B197" s="511"/>
      <c r="C197" s="518" t="s">
        <v>1483</v>
      </c>
      <c r="D197" s="1153"/>
      <c r="E197" s="516" t="s">
        <v>11</v>
      </c>
      <c r="F197" s="517">
        <v>1</v>
      </c>
      <c r="G197" s="1212"/>
      <c r="H197" s="464">
        <f t="shared" si="2"/>
        <v>0</v>
      </c>
    </row>
    <row r="198" spans="1:8" s="454" customFormat="1" ht="24">
      <c r="A198" s="455"/>
      <c r="B198" s="511"/>
      <c r="C198" s="518" t="s">
        <v>1484</v>
      </c>
      <c r="D198" s="1153"/>
      <c r="E198" s="516" t="s">
        <v>11</v>
      </c>
      <c r="F198" s="517">
        <v>1</v>
      </c>
      <c r="G198" s="1212"/>
      <c r="H198" s="464">
        <f t="shared" si="2"/>
        <v>0</v>
      </c>
    </row>
    <row r="199" spans="1:8" s="454" customFormat="1" ht="24">
      <c r="A199" s="455"/>
      <c r="B199" s="511"/>
      <c r="C199" s="518" t="s">
        <v>1485</v>
      </c>
      <c r="D199" s="1153"/>
      <c r="E199" s="516" t="s">
        <v>11</v>
      </c>
      <c r="F199" s="517">
        <v>1</v>
      </c>
      <c r="G199" s="1212"/>
      <c r="H199" s="464">
        <f t="shared" si="2"/>
        <v>0</v>
      </c>
    </row>
    <row r="200" spans="1:8" s="454" customFormat="1" ht="24">
      <c r="A200" s="455"/>
      <c r="B200" s="511"/>
      <c r="C200" s="512" t="s">
        <v>1486</v>
      </c>
      <c r="D200" s="1152"/>
      <c r="E200" s="516" t="s">
        <v>4</v>
      </c>
      <c r="F200" s="517">
        <v>1</v>
      </c>
      <c r="G200" s="1212"/>
      <c r="H200" s="464">
        <f t="shared" si="2"/>
        <v>0</v>
      </c>
    </row>
    <row r="201" spans="1:8" s="454" customFormat="1" ht="72">
      <c r="A201" s="455"/>
      <c r="B201" s="511"/>
      <c r="C201" s="520" t="s">
        <v>1487</v>
      </c>
      <c r="D201" s="1155"/>
      <c r="E201" s="521"/>
      <c r="F201" s="522"/>
      <c r="G201" s="1212"/>
      <c r="H201" s="513"/>
    </row>
    <row r="202" spans="1:8" s="454" customFormat="1" ht="48">
      <c r="A202" s="455"/>
      <c r="B202" s="511"/>
      <c r="C202" s="523" t="s">
        <v>1488</v>
      </c>
      <c r="D202" s="1156"/>
      <c r="E202" s="524" t="s">
        <v>21</v>
      </c>
      <c r="F202" s="524">
        <v>1</v>
      </c>
      <c r="G202" s="1212"/>
      <c r="H202" s="464">
        <f>SUM(F202*G202)</f>
        <v>0</v>
      </c>
    </row>
    <row r="203" spans="1:8" s="454" customFormat="1" ht="47.25" customHeight="1">
      <c r="A203" s="455"/>
      <c r="B203" s="511"/>
      <c r="C203" s="525" t="s">
        <v>1489</v>
      </c>
      <c r="D203" s="721"/>
      <c r="E203" s="491"/>
      <c r="F203" s="491"/>
      <c r="G203" s="1212"/>
      <c r="H203" s="513"/>
    </row>
    <row r="204" spans="1:8" s="454" customFormat="1">
      <c r="A204" s="455"/>
      <c r="B204" s="508"/>
      <c r="C204" s="509"/>
      <c r="D204" s="1151"/>
      <c r="E204" s="514"/>
      <c r="F204" s="510"/>
      <c r="G204" s="1208"/>
      <c r="H204" s="464"/>
    </row>
    <row r="205" spans="1:8" s="454" customFormat="1">
      <c r="A205" s="455"/>
      <c r="B205" s="526"/>
      <c r="C205" s="527"/>
      <c r="D205" s="1157"/>
      <c r="E205" s="528"/>
      <c r="F205" s="529"/>
      <c r="G205" s="1209"/>
      <c r="H205" s="1137"/>
    </row>
    <row r="206" spans="1:8" s="454" customFormat="1">
      <c r="A206" s="455"/>
      <c r="D206" s="1158"/>
      <c r="E206" s="530"/>
      <c r="F206" s="475"/>
      <c r="G206" s="1208"/>
      <c r="H206" s="464"/>
    </row>
    <row r="207" spans="1:8" s="454" customFormat="1">
      <c r="A207" s="455"/>
      <c r="B207" s="472" t="s">
        <v>716</v>
      </c>
      <c r="C207" s="483" t="s">
        <v>1490</v>
      </c>
      <c r="D207" s="1149"/>
      <c r="E207" s="530"/>
      <c r="F207" s="475"/>
      <c r="G207" s="1208"/>
      <c r="H207" s="464">
        <f>SUM(H71:H206)</f>
        <v>0</v>
      </c>
    </row>
    <row r="208" spans="1:8" s="454" customFormat="1">
      <c r="A208" s="455"/>
      <c r="B208" s="472"/>
      <c r="C208" s="483"/>
      <c r="D208" s="1149"/>
      <c r="E208" s="530"/>
      <c r="F208" s="475"/>
      <c r="G208" s="1208"/>
      <c r="H208" s="464"/>
    </row>
    <row r="209" spans="1:8" s="454" customFormat="1">
      <c r="A209" s="455"/>
      <c r="B209" s="472"/>
      <c r="C209" s="483"/>
      <c r="D209" s="1149"/>
      <c r="E209" s="530"/>
      <c r="F209" s="475"/>
      <c r="G209" s="1208"/>
      <c r="H209" s="464"/>
    </row>
    <row r="210" spans="1:8" s="454" customFormat="1">
      <c r="A210" s="455"/>
      <c r="B210" s="472"/>
      <c r="C210" s="483"/>
      <c r="D210" s="1149"/>
      <c r="E210" s="530"/>
      <c r="F210" s="475"/>
      <c r="G210" s="1208"/>
      <c r="H210" s="464"/>
    </row>
    <row r="211" spans="1:8" s="454" customFormat="1">
      <c r="A211" s="455"/>
      <c r="B211" s="531" t="s">
        <v>717</v>
      </c>
      <c r="C211" s="532" t="s">
        <v>1491</v>
      </c>
      <c r="D211" s="1159"/>
      <c r="E211" s="491" t="s">
        <v>1405</v>
      </c>
      <c r="F211" s="492"/>
      <c r="G211" s="1210"/>
      <c r="H211" s="505"/>
    </row>
    <row r="212" spans="1:8" s="454" customFormat="1">
      <c r="A212" s="455"/>
      <c r="B212" s="531"/>
      <c r="C212" s="533"/>
      <c r="D212" s="1160"/>
      <c r="E212" s="491"/>
      <c r="F212" s="492"/>
      <c r="G212" s="1208"/>
      <c r="H212" s="534"/>
    </row>
    <row r="213" spans="1:8" s="454" customFormat="1" ht="87.75" customHeight="1">
      <c r="A213" s="455"/>
      <c r="B213" s="531">
        <v>1</v>
      </c>
      <c r="C213" s="535" t="s">
        <v>1492</v>
      </c>
      <c r="D213" s="1161"/>
      <c r="E213" s="536"/>
      <c r="F213" s="537"/>
      <c r="G213" s="1208"/>
      <c r="H213" s="534"/>
    </row>
    <row r="214" spans="1:8" s="454" customFormat="1">
      <c r="A214" s="455"/>
      <c r="B214" s="531"/>
      <c r="C214" s="533"/>
      <c r="D214" s="1160"/>
      <c r="E214" s="536"/>
      <c r="F214" s="537"/>
      <c r="G214" s="1210"/>
      <c r="H214" s="505"/>
    </row>
    <row r="215" spans="1:8" s="454" customFormat="1" ht="15.75" customHeight="1">
      <c r="A215" s="455"/>
      <c r="B215" s="531"/>
      <c r="C215" s="533" t="s">
        <v>1493</v>
      </c>
      <c r="D215" s="1160"/>
      <c r="E215" s="536" t="s">
        <v>514</v>
      </c>
      <c r="F215" s="537">
        <v>155</v>
      </c>
      <c r="G215" s="1210"/>
      <c r="H215" s="464">
        <f t="shared" ref="H215:H229" si="3">SUM(F215*G215)</f>
        <v>0</v>
      </c>
    </row>
    <row r="216" spans="1:8" s="454" customFormat="1" ht="14.25" customHeight="1">
      <c r="A216" s="455"/>
      <c r="B216" s="531"/>
      <c r="C216" s="533" t="s">
        <v>1494</v>
      </c>
      <c r="D216" s="1160"/>
      <c r="E216" s="536" t="s">
        <v>514</v>
      </c>
      <c r="F216" s="537">
        <v>18</v>
      </c>
      <c r="G216" s="1210"/>
      <c r="H216" s="464">
        <f t="shared" si="3"/>
        <v>0</v>
      </c>
    </row>
    <row r="217" spans="1:8" s="454" customFormat="1" ht="14.25">
      <c r="A217" s="455"/>
      <c r="B217" s="531"/>
      <c r="C217" s="533" t="s">
        <v>1495</v>
      </c>
      <c r="D217" s="1160"/>
      <c r="E217" s="536" t="s">
        <v>514</v>
      </c>
      <c r="F217" s="537">
        <v>86</v>
      </c>
      <c r="G217" s="1210"/>
      <c r="H217" s="464">
        <f t="shared" si="3"/>
        <v>0</v>
      </c>
    </row>
    <row r="218" spans="1:8" s="454" customFormat="1" ht="14.25">
      <c r="A218" s="455"/>
      <c r="B218" s="531"/>
      <c r="C218" s="533" t="s">
        <v>1496</v>
      </c>
      <c r="D218" s="1160"/>
      <c r="E218" s="536" t="s">
        <v>514</v>
      </c>
      <c r="F218" s="537">
        <v>45</v>
      </c>
      <c r="G218" s="1210"/>
      <c r="H218" s="464">
        <f t="shared" si="3"/>
        <v>0</v>
      </c>
    </row>
    <row r="219" spans="1:8" s="454" customFormat="1" ht="14.25">
      <c r="A219" s="455"/>
      <c r="B219" s="531"/>
      <c r="C219" s="533" t="s">
        <v>1497</v>
      </c>
      <c r="D219" s="1160"/>
      <c r="E219" s="536" t="s">
        <v>514</v>
      </c>
      <c r="F219" s="537">
        <v>15</v>
      </c>
      <c r="G219" s="1210"/>
      <c r="H219" s="464">
        <f t="shared" si="3"/>
        <v>0</v>
      </c>
    </row>
    <row r="220" spans="1:8" s="454" customFormat="1" ht="14.25">
      <c r="A220" s="455"/>
      <c r="B220" s="531"/>
      <c r="C220" s="533" t="s">
        <v>1498</v>
      </c>
      <c r="D220" s="1160"/>
      <c r="E220" s="536" t="s">
        <v>514</v>
      </c>
      <c r="F220" s="537">
        <v>12</v>
      </c>
      <c r="G220" s="1210"/>
      <c r="H220" s="464">
        <f t="shared" si="3"/>
        <v>0</v>
      </c>
    </row>
    <row r="221" spans="1:8" s="454" customFormat="1" ht="14.25">
      <c r="A221" s="455"/>
      <c r="B221" s="531"/>
      <c r="C221" s="533" t="s">
        <v>1499</v>
      </c>
      <c r="D221" s="1160"/>
      <c r="E221" s="536" t="s">
        <v>514</v>
      </c>
      <c r="F221" s="537">
        <v>152</v>
      </c>
      <c r="G221" s="1210"/>
      <c r="H221" s="464">
        <f t="shared" si="3"/>
        <v>0</v>
      </c>
    </row>
    <row r="222" spans="1:8" s="454" customFormat="1" ht="14.25">
      <c r="A222" s="455"/>
      <c r="B222" s="531"/>
      <c r="C222" s="533" t="s">
        <v>1500</v>
      </c>
      <c r="D222" s="1160"/>
      <c r="E222" s="536" t="s">
        <v>514</v>
      </c>
      <c r="F222" s="537">
        <v>165</v>
      </c>
      <c r="G222" s="1210"/>
      <c r="H222" s="464">
        <f t="shared" si="3"/>
        <v>0</v>
      </c>
    </row>
    <row r="223" spans="1:8" s="454" customFormat="1">
      <c r="A223" s="455"/>
      <c r="B223" s="531"/>
      <c r="C223" s="533" t="s">
        <v>1501</v>
      </c>
      <c r="D223" s="1160"/>
      <c r="E223" s="536" t="s">
        <v>514</v>
      </c>
      <c r="F223" s="537">
        <v>2710</v>
      </c>
      <c r="G223" s="1210"/>
      <c r="H223" s="464">
        <f t="shared" si="3"/>
        <v>0</v>
      </c>
    </row>
    <row r="224" spans="1:8" s="454" customFormat="1">
      <c r="A224" s="455"/>
      <c r="B224" s="531"/>
      <c r="C224" s="533" t="s">
        <v>1502</v>
      </c>
      <c r="D224" s="1160"/>
      <c r="E224" s="536" t="s">
        <v>514</v>
      </c>
      <c r="F224" s="537">
        <v>2930</v>
      </c>
      <c r="G224" s="1210"/>
      <c r="H224" s="464">
        <f t="shared" si="3"/>
        <v>0</v>
      </c>
    </row>
    <row r="225" spans="1:8" s="454" customFormat="1">
      <c r="A225" s="455"/>
      <c r="B225" s="531"/>
      <c r="C225" s="533" t="s">
        <v>1503</v>
      </c>
      <c r="D225" s="1160"/>
      <c r="E225" s="536" t="s">
        <v>514</v>
      </c>
      <c r="F225" s="537">
        <v>15</v>
      </c>
      <c r="G225" s="1210"/>
      <c r="H225" s="464">
        <f t="shared" si="3"/>
        <v>0</v>
      </c>
    </row>
    <row r="226" spans="1:8" s="454" customFormat="1">
      <c r="A226" s="455"/>
      <c r="B226" s="531"/>
      <c r="C226" s="533" t="s">
        <v>1504</v>
      </c>
      <c r="D226" s="1160"/>
      <c r="E226" s="536" t="s">
        <v>514</v>
      </c>
      <c r="F226" s="537">
        <v>17</v>
      </c>
      <c r="G226" s="1210"/>
      <c r="H226" s="464">
        <f t="shared" si="3"/>
        <v>0</v>
      </c>
    </row>
    <row r="227" spans="1:8" s="454" customFormat="1">
      <c r="A227" s="455"/>
      <c r="B227" s="531"/>
      <c r="C227" s="533" t="s">
        <v>1505</v>
      </c>
      <c r="D227" s="1160"/>
      <c r="E227" s="536" t="s">
        <v>514</v>
      </c>
      <c r="F227" s="537">
        <v>5690</v>
      </c>
      <c r="G227" s="1210"/>
      <c r="H227" s="464">
        <f t="shared" si="3"/>
        <v>0</v>
      </c>
    </row>
    <row r="228" spans="1:8" s="454" customFormat="1">
      <c r="A228" s="455"/>
      <c r="B228" s="531"/>
      <c r="C228" s="533" t="s">
        <v>1506</v>
      </c>
      <c r="D228" s="1160"/>
      <c r="E228" s="536" t="s">
        <v>514</v>
      </c>
      <c r="F228" s="537">
        <v>1230</v>
      </c>
      <c r="G228" s="1210"/>
      <c r="H228" s="464">
        <f t="shared" si="3"/>
        <v>0</v>
      </c>
    </row>
    <row r="229" spans="1:8" s="454" customFormat="1">
      <c r="A229" s="455"/>
      <c r="B229" s="531"/>
      <c r="C229" s="533" t="s">
        <v>1507</v>
      </c>
      <c r="D229" s="1160"/>
      <c r="E229" s="536" t="s">
        <v>514</v>
      </c>
      <c r="F229" s="537">
        <v>65</v>
      </c>
      <c r="G229" s="1210"/>
      <c r="H229" s="464">
        <f t="shared" si="3"/>
        <v>0</v>
      </c>
    </row>
    <row r="230" spans="1:8" s="454" customFormat="1">
      <c r="A230" s="455"/>
      <c r="B230" s="531"/>
      <c r="C230" s="538"/>
      <c r="D230" s="1162"/>
      <c r="E230" s="530"/>
      <c r="F230" s="475"/>
      <c r="G230" s="1208"/>
      <c r="H230" s="464"/>
    </row>
    <row r="231" spans="1:8" s="454" customFormat="1">
      <c r="A231" s="455"/>
      <c r="B231" s="531" t="s">
        <v>717</v>
      </c>
      <c r="C231" s="532" t="s">
        <v>1508</v>
      </c>
      <c r="D231" s="1159"/>
      <c r="E231" s="530"/>
      <c r="F231" s="475"/>
      <c r="G231" s="1208"/>
      <c r="H231" s="464">
        <f>SUM(H215:H230)</f>
        <v>0</v>
      </c>
    </row>
    <row r="232" spans="1:8" s="454" customFormat="1">
      <c r="A232" s="455"/>
      <c r="B232" s="531"/>
      <c r="C232" s="538"/>
      <c r="D232" s="1162"/>
      <c r="E232" s="530"/>
      <c r="F232" s="475"/>
      <c r="G232" s="1208"/>
      <c r="H232" s="464"/>
    </row>
    <row r="233" spans="1:8" s="454" customFormat="1" ht="24">
      <c r="A233" s="455"/>
      <c r="B233" s="531" t="s">
        <v>1509</v>
      </c>
      <c r="C233" s="532" t="s">
        <v>1510</v>
      </c>
      <c r="D233" s="1159"/>
      <c r="E233" s="530"/>
      <c r="F233" s="475"/>
      <c r="G233" s="1208"/>
      <c r="H233" s="464"/>
    </row>
    <row r="234" spans="1:8" s="454" customFormat="1">
      <c r="A234" s="455"/>
      <c r="B234" s="539"/>
      <c r="C234" s="331"/>
      <c r="D234" s="1163"/>
      <c r="E234" s="540"/>
      <c r="F234" s="541"/>
      <c r="G234" s="1213"/>
      <c r="H234" s="1138"/>
    </row>
    <row r="235" spans="1:8" s="454" customFormat="1" ht="96">
      <c r="A235" s="455"/>
      <c r="B235" s="531" t="s">
        <v>1405</v>
      </c>
      <c r="C235" s="535" t="s">
        <v>1511</v>
      </c>
      <c r="D235" s="1161"/>
      <c r="E235" s="530"/>
      <c r="F235" s="475"/>
      <c r="G235" s="1208"/>
      <c r="H235" s="464"/>
    </row>
    <row r="236" spans="1:8" s="454" customFormat="1">
      <c r="A236" s="455"/>
      <c r="B236" s="531"/>
      <c r="C236" s="535"/>
      <c r="D236" s="1161"/>
      <c r="E236" s="530"/>
      <c r="F236" s="475"/>
      <c r="G236" s="1208"/>
      <c r="H236" s="464"/>
    </row>
    <row r="237" spans="1:8" s="454" customFormat="1" ht="207.75" customHeight="1">
      <c r="A237" s="455"/>
      <c r="B237" s="542" t="s">
        <v>1357</v>
      </c>
      <c r="C237" s="543" t="s">
        <v>1512</v>
      </c>
      <c r="D237" s="1164"/>
      <c r="E237" s="544" t="s">
        <v>11</v>
      </c>
      <c r="F237" s="545">
        <v>43</v>
      </c>
      <c r="G237" s="1214"/>
      <c r="H237" s="464">
        <f>SUM(F237*G237)</f>
        <v>0</v>
      </c>
    </row>
    <row r="238" spans="1:8" s="454" customFormat="1" ht="42" customHeight="1">
      <c r="A238" s="455"/>
      <c r="B238" s="542"/>
      <c r="C238" s="494" t="s">
        <v>1431</v>
      </c>
      <c r="D238" s="1144"/>
      <c r="E238" s="544"/>
      <c r="F238" s="547"/>
      <c r="G238" s="1215"/>
      <c r="H238" s="476"/>
    </row>
    <row r="239" spans="1:8" s="454" customFormat="1">
      <c r="A239" s="455"/>
      <c r="B239" s="542"/>
      <c r="C239" s="548"/>
      <c r="D239" s="721"/>
      <c r="E239" s="544"/>
      <c r="F239" s="547"/>
      <c r="G239" s="1215"/>
      <c r="H239" s="476"/>
    </row>
    <row r="240" spans="1:8" s="454" customFormat="1" ht="197.25" customHeight="1">
      <c r="A240" s="455"/>
      <c r="B240" s="542" t="s">
        <v>1359</v>
      </c>
      <c r="C240" s="549" t="s">
        <v>1513</v>
      </c>
      <c r="D240" s="1165"/>
      <c r="E240" s="544" t="s">
        <v>11</v>
      </c>
      <c r="F240" s="545">
        <v>8</v>
      </c>
      <c r="G240" s="1216"/>
      <c r="H240" s="464">
        <f>SUM(F240*G240)</f>
        <v>0</v>
      </c>
    </row>
    <row r="241" spans="1:8" s="454" customFormat="1" ht="49.5" customHeight="1">
      <c r="A241" s="455"/>
      <c r="B241" s="542"/>
      <c r="C241" s="494" t="s">
        <v>1431</v>
      </c>
      <c r="D241" s="1144"/>
      <c r="E241" s="544"/>
      <c r="F241" s="547"/>
      <c r="G241" s="1215"/>
      <c r="H241" s="476"/>
    </row>
    <row r="242" spans="1:8" s="454" customFormat="1">
      <c r="A242" s="455"/>
      <c r="B242" s="542"/>
      <c r="C242" s="518"/>
      <c r="D242" s="1153"/>
      <c r="E242" s="544"/>
      <c r="F242" s="547"/>
      <c r="G242" s="1215"/>
      <c r="H242" s="476"/>
    </row>
    <row r="243" spans="1:8" s="454" customFormat="1" ht="209.25" customHeight="1">
      <c r="A243" s="455"/>
      <c r="B243" s="542" t="s">
        <v>1361</v>
      </c>
      <c r="C243" s="481" t="s">
        <v>1514</v>
      </c>
      <c r="D243" s="1166"/>
      <c r="E243" s="544" t="s">
        <v>11</v>
      </c>
      <c r="F243" s="545">
        <v>34</v>
      </c>
      <c r="G243" s="1216"/>
      <c r="H243" s="464">
        <f>SUM(F243*G243)</f>
        <v>0</v>
      </c>
    </row>
    <row r="244" spans="1:8" s="454" customFormat="1" ht="43.5" customHeight="1">
      <c r="A244" s="455"/>
      <c r="B244" s="542"/>
      <c r="C244" s="494" t="s">
        <v>1431</v>
      </c>
      <c r="D244" s="1144"/>
      <c r="E244" s="544"/>
      <c r="F244" s="547"/>
      <c r="G244" s="1215"/>
      <c r="H244" s="476"/>
    </row>
    <row r="245" spans="1:8" s="454" customFormat="1">
      <c r="A245" s="455"/>
      <c r="B245" s="542"/>
      <c r="C245" s="518"/>
      <c r="D245" s="1153"/>
      <c r="E245" s="544"/>
      <c r="F245" s="547"/>
      <c r="G245" s="1215"/>
      <c r="H245" s="476"/>
    </row>
    <row r="246" spans="1:8" s="454" customFormat="1" ht="205.5" customHeight="1">
      <c r="A246" s="455"/>
      <c r="B246" s="542" t="s">
        <v>1363</v>
      </c>
      <c r="C246" s="549" t="s">
        <v>1515</v>
      </c>
      <c r="D246" s="1165"/>
      <c r="E246" s="544" t="s">
        <v>11</v>
      </c>
      <c r="F246" s="545">
        <v>5</v>
      </c>
      <c r="G246" s="1216"/>
      <c r="H246" s="464">
        <f>SUM(F246*G246)</f>
        <v>0</v>
      </c>
    </row>
    <row r="247" spans="1:8" s="454" customFormat="1" ht="50.25" customHeight="1">
      <c r="A247" s="455"/>
      <c r="B247" s="542"/>
      <c r="C247" s="494" t="s">
        <v>1431</v>
      </c>
      <c r="D247" s="1144"/>
      <c r="E247" s="544"/>
      <c r="F247" s="547"/>
      <c r="G247" s="1217"/>
      <c r="H247" s="476"/>
    </row>
    <row r="248" spans="1:8" s="454" customFormat="1">
      <c r="A248" s="455"/>
      <c r="B248" s="542"/>
      <c r="C248" s="518"/>
      <c r="D248" s="1153"/>
      <c r="E248" s="544"/>
      <c r="F248" s="547"/>
      <c r="G248" s="1217"/>
      <c r="H248" s="476"/>
    </row>
    <row r="249" spans="1:8" s="454" customFormat="1" ht="159" customHeight="1">
      <c r="A249" s="455"/>
      <c r="B249" s="542" t="s">
        <v>1366</v>
      </c>
      <c r="C249" s="549" t="s">
        <v>1516</v>
      </c>
      <c r="D249" s="1165"/>
      <c r="E249" s="544" t="s">
        <v>11</v>
      </c>
      <c r="F249" s="545">
        <v>5</v>
      </c>
      <c r="G249" s="1216"/>
      <c r="H249" s="464">
        <f>SUM(F249*G249)</f>
        <v>0</v>
      </c>
    </row>
    <row r="250" spans="1:8" s="454" customFormat="1" ht="45" customHeight="1">
      <c r="A250" s="455"/>
      <c r="B250" s="542"/>
      <c r="C250" s="494" t="s">
        <v>1431</v>
      </c>
      <c r="D250" s="1144"/>
      <c r="E250" s="544"/>
      <c r="F250" s="547"/>
      <c r="G250" s="1217"/>
      <c r="H250" s="476"/>
    </row>
    <row r="251" spans="1:8" s="454" customFormat="1">
      <c r="A251" s="455"/>
      <c r="B251" s="542"/>
      <c r="C251" s="518"/>
      <c r="D251" s="1153"/>
      <c r="E251" s="544"/>
      <c r="F251" s="547"/>
      <c r="G251" s="1217"/>
      <c r="H251" s="476"/>
    </row>
    <row r="252" spans="1:8" s="454" customFormat="1" ht="168">
      <c r="A252" s="455"/>
      <c r="B252" s="542" t="s">
        <v>1386</v>
      </c>
      <c r="C252" s="549" t="s">
        <v>1517</v>
      </c>
      <c r="D252" s="1165"/>
      <c r="E252" s="544" t="s">
        <v>11</v>
      </c>
      <c r="F252" s="545">
        <v>8</v>
      </c>
      <c r="G252" s="1216"/>
      <c r="H252" s="464">
        <f>SUM(F252*G252)</f>
        <v>0</v>
      </c>
    </row>
    <row r="253" spans="1:8" s="454" customFormat="1" ht="37.5" customHeight="1">
      <c r="A253" s="455"/>
      <c r="B253" s="542"/>
      <c r="C253" s="494" t="s">
        <v>1431</v>
      </c>
      <c r="D253" s="1144"/>
      <c r="E253" s="544"/>
      <c r="F253" s="550"/>
      <c r="G253" s="1218"/>
      <c r="H253" s="476"/>
    </row>
    <row r="254" spans="1:8" s="454" customFormat="1">
      <c r="A254" s="455"/>
      <c r="B254" s="542"/>
      <c r="C254" s="518"/>
      <c r="D254" s="1153"/>
      <c r="E254" s="544"/>
      <c r="F254" s="550"/>
      <c r="G254" s="1218"/>
      <c r="H254" s="476"/>
    </row>
    <row r="255" spans="1:8" s="454" customFormat="1" ht="168">
      <c r="A255" s="455"/>
      <c r="B255" s="542" t="s">
        <v>1388</v>
      </c>
      <c r="C255" s="549" t="s">
        <v>1518</v>
      </c>
      <c r="D255" s="1165"/>
      <c r="E255" s="544" t="s">
        <v>11</v>
      </c>
      <c r="F255" s="550">
        <v>8</v>
      </c>
      <c r="G255" s="1218"/>
      <c r="H255" s="464">
        <f>SUM(F255*G255)</f>
        <v>0</v>
      </c>
    </row>
    <row r="256" spans="1:8" s="454" customFormat="1" ht="39.75" customHeight="1">
      <c r="A256" s="455"/>
      <c r="B256" s="542"/>
      <c r="C256" s="494" t="s">
        <v>1431</v>
      </c>
      <c r="D256" s="1144"/>
      <c r="E256" s="544"/>
      <c r="F256" s="550"/>
      <c r="G256" s="1218"/>
      <c r="H256" s="476"/>
    </row>
    <row r="257" spans="1:8" s="454" customFormat="1">
      <c r="A257" s="455"/>
      <c r="B257" s="542"/>
      <c r="C257" s="518"/>
      <c r="D257" s="1153"/>
      <c r="E257" s="544"/>
      <c r="F257" s="550"/>
      <c r="G257" s="1218"/>
      <c r="H257" s="476"/>
    </row>
    <row r="258" spans="1:8" s="454" customFormat="1" ht="228">
      <c r="A258" s="455"/>
      <c r="B258" s="542" t="s">
        <v>1392</v>
      </c>
      <c r="C258" s="549" t="s">
        <v>1519</v>
      </c>
      <c r="D258" s="1165"/>
      <c r="E258" s="544" t="s">
        <v>11</v>
      </c>
      <c r="F258" s="550">
        <v>14</v>
      </c>
      <c r="G258" s="1218"/>
      <c r="H258" s="464">
        <f>SUM(F258*G258)</f>
        <v>0</v>
      </c>
    </row>
    <row r="259" spans="1:8" s="454" customFormat="1" ht="39.75" customHeight="1">
      <c r="A259" s="455"/>
      <c r="B259" s="542"/>
      <c r="C259" s="494" t="s">
        <v>1431</v>
      </c>
      <c r="D259" s="1144"/>
      <c r="E259" s="544"/>
      <c r="F259" s="550"/>
      <c r="G259" s="1218"/>
      <c r="H259" s="476"/>
    </row>
    <row r="260" spans="1:8" s="454" customFormat="1">
      <c r="A260" s="455"/>
      <c r="B260" s="542"/>
      <c r="C260" s="518"/>
      <c r="D260" s="1153"/>
      <c r="E260" s="544"/>
      <c r="F260" s="550"/>
      <c r="G260" s="1218"/>
      <c r="H260" s="476"/>
    </row>
    <row r="261" spans="1:8" s="454" customFormat="1" ht="204">
      <c r="A261" s="455"/>
      <c r="B261" s="542" t="s">
        <v>1396</v>
      </c>
      <c r="C261" s="549" t="s">
        <v>1520</v>
      </c>
      <c r="D261" s="1165"/>
      <c r="E261" s="544" t="s">
        <v>11</v>
      </c>
      <c r="F261" s="550">
        <v>20</v>
      </c>
      <c r="G261" s="1218"/>
      <c r="H261" s="464">
        <f>SUM(F261*G261)</f>
        <v>0</v>
      </c>
    </row>
    <row r="262" spans="1:8" s="454" customFormat="1" ht="44.25" customHeight="1">
      <c r="A262" s="455"/>
      <c r="B262" s="542"/>
      <c r="C262" s="494" t="s">
        <v>1431</v>
      </c>
      <c r="D262" s="1144"/>
      <c r="E262" s="544"/>
      <c r="F262" s="550"/>
      <c r="G262" s="1218"/>
      <c r="H262" s="476"/>
    </row>
    <row r="263" spans="1:8" s="454" customFormat="1">
      <c r="A263" s="455"/>
      <c r="B263" s="542"/>
      <c r="C263" s="518"/>
      <c r="D263" s="1153"/>
      <c r="E263" s="544"/>
      <c r="F263" s="550"/>
      <c r="G263" s="1218"/>
      <c r="H263" s="476"/>
    </row>
    <row r="264" spans="1:8" s="454" customFormat="1" ht="186" customHeight="1">
      <c r="A264" s="455"/>
      <c r="B264" s="542" t="s">
        <v>1521</v>
      </c>
      <c r="C264" s="549" t="s">
        <v>1522</v>
      </c>
      <c r="D264" s="1165"/>
      <c r="E264" s="544" t="s">
        <v>11</v>
      </c>
      <c r="F264" s="550">
        <v>8</v>
      </c>
      <c r="G264" s="1218"/>
      <c r="H264" s="464">
        <f>SUM(F264*G264)</f>
        <v>0</v>
      </c>
    </row>
    <row r="265" spans="1:8" s="454" customFormat="1" ht="40.5" customHeight="1">
      <c r="A265" s="455"/>
      <c r="B265" s="542"/>
      <c r="C265" s="494" t="s">
        <v>1431</v>
      </c>
      <c r="D265" s="1144"/>
      <c r="E265" s="544"/>
      <c r="F265" s="550"/>
      <c r="G265" s="1218"/>
      <c r="H265" s="476"/>
    </row>
    <row r="266" spans="1:8" s="454" customFormat="1">
      <c r="A266" s="455"/>
      <c r="B266" s="542"/>
      <c r="C266" s="518"/>
      <c r="D266" s="1153"/>
      <c r="E266" s="544"/>
      <c r="F266" s="550"/>
      <c r="G266" s="1218"/>
      <c r="H266" s="476"/>
    </row>
    <row r="267" spans="1:8" s="454" customFormat="1" ht="149.25" customHeight="1">
      <c r="A267" s="455"/>
      <c r="B267" s="542" t="s">
        <v>1523</v>
      </c>
      <c r="C267" s="549" t="s">
        <v>1524</v>
      </c>
      <c r="D267" s="1165"/>
      <c r="E267" s="544" t="s">
        <v>11</v>
      </c>
      <c r="F267" s="550">
        <v>1</v>
      </c>
      <c r="G267" s="1218"/>
      <c r="H267" s="464">
        <f>SUM(F267*G267)</f>
        <v>0</v>
      </c>
    </row>
    <row r="268" spans="1:8" s="454" customFormat="1" ht="43.5" customHeight="1">
      <c r="A268" s="455"/>
      <c r="B268" s="542"/>
      <c r="C268" s="494" t="s">
        <v>1431</v>
      </c>
      <c r="D268" s="1144"/>
      <c r="E268" s="544"/>
      <c r="F268" s="550"/>
      <c r="G268" s="1218"/>
      <c r="H268" s="476"/>
    </row>
    <row r="269" spans="1:8" s="454" customFormat="1">
      <c r="A269" s="455"/>
      <c r="B269" s="542"/>
      <c r="C269" s="518"/>
      <c r="D269" s="1153"/>
      <c r="E269" s="544"/>
      <c r="F269" s="550"/>
      <c r="G269" s="1218"/>
      <c r="H269" s="476"/>
    </row>
    <row r="270" spans="1:8" s="454" customFormat="1" ht="184.5" customHeight="1">
      <c r="A270" s="455"/>
      <c r="B270" s="542" t="s">
        <v>1525</v>
      </c>
      <c r="C270" s="549" t="s">
        <v>1526</v>
      </c>
      <c r="D270" s="1165"/>
      <c r="E270" s="544" t="s">
        <v>11</v>
      </c>
      <c r="F270" s="550">
        <v>3</v>
      </c>
      <c r="G270" s="1218"/>
      <c r="H270" s="464">
        <f>SUM(F270*G270)</f>
        <v>0</v>
      </c>
    </row>
    <row r="271" spans="1:8" s="454" customFormat="1" ht="37.5" customHeight="1">
      <c r="A271" s="455"/>
      <c r="B271" s="542"/>
      <c r="C271" s="494" t="s">
        <v>1431</v>
      </c>
      <c r="D271" s="1144"/>
      <c r="E271" s="544"/>
      <c r="F271" s="550"/>
      <c r="G271" s="1218"/>
      <c r="H271" s="476"/>
    </row>
    <row r="272" spans="1:8" s="454" customFormat="1">
      <c r="A272" s="455"/>
      <c r="B272" s="539"/>
      <c r="C272" s="507"/>
      <c r="D272" s="1144"/>
      <c r="E272" s="473"/>
      <c r="F272" s="551"/>
      <c r="G272" s="1219"/>
      <c r="H272" s="476"/>
    </row>
    <row r="273" spans="1:8" s="454" customFormat="1" ht="171.75" customHeight="1">
      <c r="A273" s="455"/>
      <c r="B273" s="542" t="s">
        <v>1527</v>
      </c>
      <c r="C273" s="549" t="s">
        <v>1528</v>
      </c>
      <c r="D273" s="1165"/>
      <c r="E273" s="544" t="s">
        <v>11</v>
      </c>
      <c r="F273" s="550">
        <v>2</v>
      </c>
      <c r="G273" s="1218"/>
      <c r="H273" s="464">
        <f>SUM(F273*G273)</f>
        <v>0</v>
      </c>
    </row>
    <row r="274" spans="1:8" s="454" customFormat="1" ht="42" customHeight="1">
      <c r="A274" s="455"/>
      <c r="B274" s="542"/>
      <c r="C274" s="494" t="s">
        <v>1431</v>
      </c>
      <c r="D274" s="1144"/>
      <c r="E274" s="544"/>
      <c r="F274" s="550"/>
      <c r="G274" s="1218"/>
      <c r="H274" s="476"/>
    </row>
    <row r="275" spans="1:8" s="454" customFormat="1">
      <c r="A275" s="455"/>
      <c r="B275" s="539"/>
      <c r="C275" s="507"/>
      <c r="D275" s="1144"/>
      <c r="E275" s="473"/>
      <c r="F275" s="551"/>
      <c r="G275" s="1219"/>
      <c r="H275" s="476"/>
    </row>
    <row r="276" spans="1:8" s="454" customFormat="1" ht="198" customHeight="1">
      <c r="A276" s="455"/>
      <c r="B276" s="542" t="s">
        <v>1529</v>
      </c>
      <c r="C276" s="549" t="s">
        <v>1530</v>
      </c>
      <c r="D276" s="1165"/>
      <c r="E276" s="544" t="s">
        <v>11</v>
      </c>
      <c r="F276" s="550">
        <v>27</v>
      </c>
      <c r="G276" s="1218"/>
      <c r="H276" s="464">
        <f>SUM(F276*G276)</f>
        <v>0</v>
      </c>
    </row>
    <row r="277" spans="1:8" s="454" customFormat="1" ht="39.75" customHeight="1">
      <c r="A277" s="455"/>
      <c r="B277" s="542"/>
      <c r="C277" s="494" t="s">
        <v>1431</v>
      </c>
      <c r="D277" s="1144"/>
      <c r="E277" s="544"/>
      <c r="F277" s="550"/>
      <c r="G277" s="1218"/>
      <c r="H277" s="476"/>
    </row>
    <row r="278" spans="1:8" s="454" customFormat="1">
      <c r="A278" s="455"/>
      <c r="B278" s="539"/>
      <c r="C278" s="507"/>
      <c r="D278" s="1144"/>
      <c r="E278" s="473"/>
      <c r="F278" s="551"/>
      <c r="G278" s="1219"/>
      <c r="H278" s="476"/>
    </row>
    <row r="279" spans="1:8" s="454" customFormat="1" ht="198" customHeight="1">
      <c r="A279" s="455"/>
      <c r="B279" s="542" t="s">
        <v>1531</v>
      </c>
      <c r="C279" s="549" t="s">
        <v>1532</v>
      </c>
      <c r="D279" s="1165"/>
      <c r="E279" s="544" t="s">
        <v>11</v>
      </c>
      <c r="F279" s="550">
        <v>1</v>
      </c>
      <c r="G279" s="1218"/>
      <c r="H279" s="464">
        <f>SUM(F279*G279)</f>
        <v>0</v>
      </c>
    </row>
    <row r="280" spans="1:8" s="454" customFormat="1" ht="36" customHeight="1">
      <c r="A280" s="455"/>
      <c r="B280" s="542"/>
      <c r="C280" s="494" t="s">
        <v>1431</v>
      </c>
      <c r="D280" s="1144"/>
      <c r="E280" s="544"/>
      <c r="F280" s="550"/>
      <c r="G280" s="1218"/>
      <c r="H280" s="476"/>
    </row>
    <row r="281" spans="1:8" s="454" customFormat="1">
      <c r="A281" s="455"/>
      <c r="B281" s="539"/>
      <c r="C281" s="507"/>
      <c r="D281" s="1144"/>
      <c r="E281" s="473"/>
      <c r="F281" s="551"/>
      <c r="G281" s="1219"/>
      <c r="H281" s="476"/>
    </row>
    <row r="282" spans="1:8" s="454" customFormat="1" ht="39" customHeight="1">
      <c r="A282" s="455"/>
      <c r="B282" s="539" t="s">
        <v>1533</v>
      </c>
      <c r="C282" s="507" t="s">
        <v>1534</v>
      </c>
      <c r="D282" s="1144"/>
      <c r="E282" s="1102"/>
      <c r="F282" s="1102"/>
      <c r="G282" s="1220"/>
    </row>
    <row r="283" spans="1:8" s="454" customFormat="1" ht="37.5" customHeight="1">
      <c r="A283" s="455"/>
      <c r="B283" s="539"/>
      <c r="C283" s="507" t="s">
        <v>1535</v>
      </c>
      <c r="D283" s="1144"/>
      <c r="E283" s="544"/>
      <c r="F283" s="552"/>
      <c r="G283" s="1221"/>
      <c r="H283" s="476"/>
    </row>
    <row r="284" spans="1:8" s="454" customFormat="1" ht="54" customHeight="1">
      <c r="A284" s="455"/>
      <c r="B284" s="539"/>
      <c r="C284" s="507" t="s">
        <v>1536</v>
      </c>
      <c r="D284" s="1144"/>
      <c r="E284" s="544"/>
      <c r="F284" s="552"/>
      <c r="G284" s="1221"/>
      <c r="H284" s="476"/>
    </row>
    <row r="285" spans="1:8" s="454" customFormat="1" ht="60">
      <c r="A285" s="455"/>
      <c r="B285" s="539"/>
      <c r="C285" s="507" t="s">
        <v>1537</v>
      </c>
      <c r="D285" s="1144"/>
      <c r="E285" s="544" t="s">
        <v>11</v>
      </c>
      <c r="F285" s="552">
        <v>4</v>
      </c>
      <c r="G285" s="1221"/>
      <c r="H285" s="464">
        <f>SUM(F285*G285)</f>
        <v>0</v>
      </c>
    </row>
    <row r="286" spans="1:8" s="454" customFormat="1" ht="40.5" customHeight="1">
      <c r="A286" s="455"/>
      <c r="B286" s="539"/>
      <c r="C286" s="494" t="s">
        <v>1431</v>
      </c>
      <c r="D286" s="1144"/>
      <c r="E286" s="544"/>
      <c r="F286" s="553"/>
      <c r="G286" s="1222"/>
      <c r="H286" s="476"/>
    </row>
    <row r="287" spans="1:8" s="454" customFormat="1">
      <c r="A287" s="455"/>
      <c r="B287" s="539"/>
      <c r="C287" s="507"/>
      <c r="D287" s="1144"/>
      <c r="E287" s="473"/>
      <c r="F287" s="553"/>
      <c r="G287" s="1222"/>
      <c r="H287" s="476"/>
    </row>
    <row r="288" spans="1:8" s="454" customFormat="1" ht="54" customHeight="1">
      <c r="A288" s="455"/>
      <c r="B288" s="539" t="s">
        <v>1538</v>
      </c>
      <c r="C288" s="507" t="s">
        <v>1539</v>
      </c>
      <c r="D288" s="1144"/>
      <c r="E288" s="1102"/>
      <c r="F288" s="1102"/>
      <c r="G288" s="1220"/>
    </row>
    <row r="289" spans="1:8" s="454" customFormat="1" ht="60">
      <c r="A289" s="455"/>
      <c r="B289" s="539"/>
      <c r="C289" s="507" t="s">
        <v>1540</v>
      </c>
      <c r="D289" s="1144"/>
      <c r="E289" s="530"/>
      <c r="F289" s="552"/>
      <c r="G289" s="1221"/>
      <c r="H289" s="476"/>
    </row>
    <row r="290" spans="1:8" s="454" customFormat="1" ht="66" customHeight="1">
      <c r="A290" s="455"/>
      <c r="B290" s="539"/>
      <c r="C290" s="507" t="s">
        <v>1541</v>
      </c>
      <c r="D290" s="1144"/>
      <c r="E290" s="530"/>
      <c r="F290" s="552"/>
      <c r="G290" s="1221"/>
      <c r="H290" s="476"/>
    </row>
    <row r="291" spans="1:8" s="454" customFormat="1" ht="60">
      <c r="A291" s="455"/>
      <c r="B291" s="539"/>
      <c r="C291" s="507" t="s">
        <v>1542</v>
      </c>
      <c r="D291" s="1144"/>
      <c r="E291" s="530"/>
      <c r="F291" s="552"/>
      <c r="G291" s="1221"/>
      <c r="H291" s="476"/>
    </row>
    <row r="292" spans="1:8" s="454" customFormat="1" ht="43.5" customHeight="1">
      <c r="A292" s="455"/>
      <c r="B292" s="539"/>
      <c r="C292" s="494" t="s">
        <v>1431</v>
      </c>
      <c r="D292" s="1144"/>
      <c r="E292" s="530" t="s">
        <v>11</v>
      </c>
      <c r="F292" s="552">
        <v>12</v>
      </c>
      <c r="G292" s="1221"/>
      <c r="H292" s="464">
        <f>SUM(F292*G292)</f>
        <v>0</v>
      </c>
    </row>
    <row r="293" spans="1:8" s="454" customFormat="1">
      <c r="A293" s="455"/>
      <c r="B293" s="539"/>
      <c r="C293" s="507"/>
      <c r="D293" s="1144"/>
      <c r="E293" s="473"/>
      <c r="F293" s="553"/>
      <c r="G293" s="1222"/>
      <c r="H293" s="476"/>
    </row>
    <row r="294" spans="1:8" s="454" customFormat="1" ht="52.5" customHeight="1">
      <c r="A294" s="455"/>
      <c r="B294" s="539" t="s">
        <v>1543</v>
      </c>
      <c r="C294" s="507" t="s">
        <v>1544</v>
      </c>
      <c r="D294" s="1144"/>
      <c r="E294" s="1102"/>
      <c r="F294" s="1102"/>
      <c r="G294" s="1220"/>
    </row>
    <row r="295" spans="1:8" s="454" customFormat="1" ht="27.75" customHeight="1">
      <c r="A295" s="455"/>
      <c r="B295" s="539"/>
      <c r="C295" s="507" t="s">
        <v>1545</v>
      </c>
      <c r="D295" s="1144"/>
      <c r="E295" s="530"/>
      <c r="F295" s="552"/>
      <c r="G295" s="1223"/>
      <c r="H295" s="476"/>
    </row>
    <row r="296" spans="1:8" s="454" customFormat="1" ht="48">
      <c r="A296" s="455"/>
      <c r="B296" s="539"/>
      <c r="C296" s="507" t="s">
        <v>1546</v>
      </c>
      <c r="D296" s="1144"/>
      <c r="E296" s="530"/>
      <c r="F296" s="552"/>
      <c r="G296" s="1223"/>
      <c r="H296" s="476"/>
    </row>
    <row r="297" spans="1:8" s="454" customFormat="1" ht="43.5" customHeight="1">
      <c r="A297" s="455"/>
      <c r="B297" s="539"/>
      <c r="C297" s="507" t="s">
        <v>1547</v>
      </c>
      <c r="D297" s="1144"/>
      <c r="E297" s="530"/>
      <c r="F297" s="552"/>
      <c r="G297" s="1223"/>
      <c r="H297" s="476"/>
    </row>
    <row r="298" spans="1:8" s="454" customFormat="1" ht="60">
      <c r="A298" s="455"/>
      <c r="B298" s="539"/>
      <c r="C298" s="507" t="s">
        <v>1548</v>
      </c>
      <c r="D298" s="1144"/>
      <c r="E298" s="530" t="s">
        <v>11</v>
      </c>
      <c r="F298" s="552">
        <v>6</v>
      </c>
      <c r="G298" s="1223"/>
      <c r="H298" s="464">
        <f>SUM(F298*G298)</f>
        <v>0</v>
      </c>
    </row>
    <row r="299" spans="1:8" s="454" customFormat="1" ht="48.75" customHeight="1">
      <c r="A299" s="455"/>
      <c r="B299" s="539"/>
      <c r="C299" s="494" t="s">
        <v>1431</v>
      </c>
      <c r="D299" s="1144"/>
      <c r="E299" s="530"/>
      <c r="F299" s="553"/>
      <c r="G299" s="1222"/>
      <c r="H299" s="476"/>
    </row>
    <row r="300" spans="1:8" s="454" customFormat="1">
      <c r="A300" s="455"/>
      <c r="B300" s="539"/>
      <c r="C300" s="507"/>
      <c r="D300" s="1144"/>
      <c r="E300" s="473"/>
      <c r="F300" s="553"/>
      <c r="G300" s="1222"/>
      <c r="H300" s="476"/>
    </row>
    <row r="301" spans="1:8" s="454" customFormat="1" ht="60">
      <c r="A301" s="455"/>
      <c r="B301" s="539" t="s">
        <v>1549</v>
      </c>
      <c r="C301" s="507" t="s">
        <v>1550</v>
      </c>
      <c r="D301" s="1144"/>
      <c r="E301" s="1102"/>
      <c r="F301" s="1102"/>
      <c r="G301" s="1220"/>
    </row>
    <row r="302" spans="1:8" s="454" customFormat="1" ht="72">
      <c r="A302" s="455"/>
      <c r="B302" s="539"/>
      <c r="C302" s="507" t="s">
        <v>1551</v>
      </c>
      <c r="D302" s="1144"/>
      <c r="E302" s="530"/>
      <c r="F302" s="552"/>
      <c r="G302" s="1224"/>
      <c r="H302" s="476"/>
    </row>
    <row r="303" spans="1:8" s="454" customFormat="1" ht="60">
      <c r="A303" s="455"/>
      <c r="B303" s="539"/>
      <c r="C303" s="507" t="s">
        <v>1552</v>
      </c>
      <c r="D303" s="1144"/>
      <c r="E303" s="530"/>
      <c r="F303" s="552"/>
      <c r="G303" s="1224"/>
      <c r="H303" s="476"/>
    </row>
    <row r="304" spans="1:8" s="454" customFormat="1" ht="60">
      <c r="A304" s="455"/>
      <c r="B304" s="539"/>
      <c r="C304" s="507" t="s">
        <v>1553</v>
      </c>
      <c r="D304" s="1144"/>
      <c r="E304" s="530" t="s">
        <v>11</v>
      </c>
      <c r="F304" s="552">
        <v>24</v>
      </c>
      <c r="G304" s="1224"/>
      <c r="H304" s="464">
        <f>SUM(F304*G304)</f>
        <v>0</v>
      </c>
    </row>
    <row r="305" spans="1:10" s="454" customFormat="1" ht="34.5" customHeight="1">
      <c r="A305" s="455"/>
      <c r="B305" s="539"/>
      <c r="C305" s="494" t="s">
        <v>1431</v>
      </c>
      <c r="D305" s="1144"/>
      <c r="E305" s="530"/>
      <c r="F305" s="553"/>
      <c r="G305" s="1222"/>
      <c r="H305" s="476"/>
    </row>
    <row r="306" spans="1:10" s="454" customFormat="1">
      <c r="A306" s="455"/>
      <c r="B306" s="539"/>
      <c r="C306" s="507"/>
      <c r="D306" s="1144"/>
      <c r="E306" s="473"/>
      <c r="F306" s="553"/>
      <c r="G306" s="1222"/>
      <c r="H306" s="476"/>
    </row>
    <row r="307" spans="1:10" s="454" customFormat="1" ht="48">
      <c r="A307" s="455"/>
      <c r="B307" s="539" t="s">
        <v>1554</v>
      </c>
      <c r="C307" s="507" t="s">
        <v>1555</v>
      </c>
      <c r="D307" s="1144"/>
      <c r="E307" s="1102"/>
      <c r="F307" s="1102"/>
      <c r="G307" s="1220"/>
    </row>
    <row r="308" spans="1:10" s="454" customFormat="1" ht="48">
      <c r="A308" s="455"/>
      <c r="B308" s="539"/>
      <c r="C308" s="507" t="s">
        <v>1556</v>
      </c>
      <c r="D308" s="1144"/>
      <c r="E308" s="530"/>
      <c r="F308" s="552"/>
      <c r="G308" s="1224"/>
      <c r="H308" s="476"/>
    </row>
    <row r="309" spans="1:10" s="454" customFormat="1" ht="56.25" customHeight="1">
      <c r="A309" s="455"/>
      <c r="B309" s="539"/>
      <c r="C309" s="507" t="s">
        <v>1557</v>
      </c>
      <c r="D309" s="1144"/>
      <c r="E309" s="530"/>
      <c r="F309" s="552"/>
      <c r="G309" s="1224"/>
      <c r="H309" s="476"/>
    </row>
    <row r="310" spans="1:10" s="454" customFormat="1" ht="60">
      <c r="A310" s="455"/>
      <c r="B310" s="539"/>
      <c r="C310" s="507" t="s">
        <v>1558</v>
      </c>
      <c r="D310" s="1144"/>
      <c r="E310" s="530" t="s">
        <v>11</v>
      </c>
      <c r="F310" s="552">
        <v>2</v>
      </c>
      <c r="G310" s="1224"/>
      <c r="H310" s="464">
        <f>SUM(F310*G310)</f>
        <v>0</v>
      </c>
    </row>
    <row r="311" spans="1:10" s="454" customFormat="1" ht="49.5" customHeight="1">
      <c r="A311" s="455"/>
      <c r="B311" s="539"/>
      <c r="C311" s="494" t="s">
        <v>1431</v>
      </c>
      <c r="D311" s="1144"/>
      <c r="E311" s="530"/>
      <c r="F311" s="553"/>
      <c r="G311" s="1222"/>
      <c r="H311" s="476"/>
    </row>
    <row r="312" spans="1:10" s="454" customFormat="1">
      <c r="A312" s="455"/>
      <c r="B312" s="531"/>
      <c r="C312" s="535"/>
      <c r="D312" s="1161"/>
      <c r="E312" s="530"/>
      <c r="F312" s="475"/>
      <c r="G312" s="1208"/>
      <c r="H312" s="464"/>
    </row>
    <row r="313" spans="1:10" s="454" customFormat="1">
      <c r="A313" s="455"/>
      <c r="B313" s="539"/>
      <c r="C313" s="331"/>
      <c r="D313" s="1163"/>
      <c r="E313" s="540"/>
      <c r="F313" s="541"/>
      <c r="G313" s="1213"/>
      <c r="H313" s="1138"/>
    </row>
    <row r="314" spans="1:10" s="554" customFormat="1" ht="42" customHeight="1">
      <c r="B314" s="555" t="s">
        <v>1559</v>
      </c>
      <c r="C314" s="533" t="s">
        <v>1560</v>
      </c>
      <c r="D314" s="1160"/>
      <c r="E314" s="536"/>
      <c r="F314" s="556"/>
      <c r="G314" s="1210"/>
      <c r="H314" s="505"/>
      <c r="I314" s="557"/>
      <c r="J314" s="557"/>
    </row>
    <row r="315" spans="1:10" s="554" customFormat="1" ht="28.5" customHeight="1">
      <c r="B315" s="555"/>
      <c r="C315" s="494" t="s">
        <v>1431</v>
      </c>
      <c r="D315" s="1144"/>
      <c r="E315" s="536"/>
      <c r="F315" s="556"/>
      <c r="G315" s="1210"/>
      <c r="H315" s="534"/>
      <c r="I315" s="557"/>
      <c r="J315" s="557"/>
    </row>
    <row r="316" spans="1:10" s="554" customFormat="1">
      <c r="B316" s="555"/>
      <c r="C316" s="533" t="s">
        <v>1561</v>
      </c>
      <c r="D316" s="1160"/>
      <c r="E316" s="536" t="s">
        <v>11</v>
      </c>
      <c r="F316" s="556">
        <v>36</v>
      </c>
      <c r="G316" s="1210"/>
      <c r="H316" s="464">
        <f t="shared" ref="H316:H326" si="4">SUM(F316*G316)</f>
        <v>0</v>
      </c>
      <c r="I316" s="557"/>
      <c r="J316" s="557"/>
    </row>
    <row r="317" spans="1:10" s="554" customFormat="1">
      <c r="B317" s="555"/>
      <c r="C317" s="533" t="s">
        <v>1562</v>
      </c>
      <c r="D317" s="1160"/>
      <c r="E317" s="536" t="s">
        <v>11</v>
      </c>
      <c r="F317" s="556">
        <v>6</v>
      </c>
      <c r="G317" s="1210"/>
      <c r="H317" s="464">
        <f t="shared" si="4"/>
        <v>0</v>
      </c>
      <c r="I317" s="557"/>
      <c r="J317" s="557"/>
    </row>
    <row r="318" spans="1:10" s="554" customFormat="1">
      <c r="B318" s="555"/>
      <c r="C318" s="533" t="s">
        <v>1563</v>
      </c>
      <c r="D318" s="1160"/>
      <c r="E318" s="536" t="s">
        <v>11</v>
      </c>
      <c r="F318" s="556">
        <v>8</v>
      </c>
      <c r="G318" s="1210"/>
      <c r="H318" s="464">
        <f t="shared" si="4"/>
        <v>0</v>
      </c>
      <c r="I318" s="557"/>
      <c r="J318" s="557"/>
    </row>
    <row r="319" spans="1:10" s="554" customFormat="1">
      <c r="B319" s="555"/>
      <c r="C319" s="533" t="s">
        <v>1564</v>
      </c>
      <c r="D319" s="1160"/>
      <c r="E319" s="536" t="s">
        <v>11</v>
      </c>
      <c r="F319" s="556">
        <v>125</v>
      </c>
      <c r="G319" s="1210"/>
      <c r="H319" s="464">
        <f t="shared" si="4"/>
        <v>0</v>
      </c>
      <c r="I319" s="557"/>
      <c r="J319" s="557"/>
    </row>
    <row r="320" spans="1:10" s="554" customFormat="1">
      <c r="B320" s="558"/>
      <c r="C320" s="533" t="s">
        <v>1565</v>
      </c>
      <c r="D320" s="1160"/>
      <c r="E320" s="536" t="s">
        <v>11</v>
      </c>
      <c r="F320" s="556">
        <v>5</v>
      </c>
      <c r="G320" s="1210"/>
      <c r="H320" s="464">
        <f t="shared" si="4"/>
        <v>0</v>
      </c>
      <c r="I320" s="557"/>
      <c r="J320" s="557"/>
    </row>
    <row r="321" spans="2:10" s="554" customFormat="1">
      <c r="B321" s="555"/>
      <c r="C321" s="533" t="s">
        <v>1566</v>
      </c>
      <c r="D321" s="1160"/>
      <c r="E321" s="536" t="s">
        <v>11</v>
      </c>
      <c r="F321" s="556">
        <v>6</v>
      </c>
      <c r="G321" s="1210"/>
      <c r="H321" s="464">
        <f t="shared" si="4"/>
        <v>0</v>
      </c>
      <c r="I321" s="557"/>
      <c r="J321" s="557"/>
    </row>
    <row r="322" spans="2:10" s="554" customFormat="1">
      <c r="B322" s="558"/>
      <c r="C322" s="533" t="s">
        <v>1567</v>
      </c>
      <c r="D322" s="1160"/>
      <c r="E322" s="536" t="s">
        <v>11</v>
      </c>
      <c r="F322" s="556">
        <v>45</v>
      </c>
      <c r="G322" s="1210"/>
      <c r="H322" s="464">
        <f t="shared" si="4"/>
        <v>0</v>
      </c>
      <c r="I322" s="557"/>
      <c r="J322" s="557"/>
    </row>
    <row r="323" spans="2:10" s="554" customFormat="1" ht="24">
      <c r="B323" s="555"/>
      <c r="C323" s="533" t="s">
        <v>1568</v>
      </c>
      <c r="D323" s="1160"/>
      <c r="E323" s="536" t="s">
        <v>11</v>
      </c>
      <c r="F323" s="556">
        <v>4</v>
      </c>
      <c r="G323" s="1210"/>
      <c r="H323" s="464">
        <f t="shared" si="4"/>
        <v>0</v>
      </c>
      <c r="I323" s="557"/>
      <c r="J323" s="557"/>
    </row>
    <row r="324" spans="2:10" s="554" customFormat="1">
      <c r="B324" s="555"/>
      <c r="C324" s="533" t="s">
        <v>1569</v>
      </c>
      <c r="D324" s="1160"/>
      <c r="E324" s="536" t="s">
        <v>11</v>
      </c>
      <c r="F324" s="556">
        <v>17</v>
      </c>
      <c r="G324" s="1210"/>
      <c r="H324" s="464">
        <f t="shared" si="4"/>
        <v>0</v>
      </c>
      <c r="I324" s="557"/>
      <c r="J324" s="557"/>
    </row>
    <row r="325" spans="2:10" s="554" customFormat="1">
      <c r="B325" s="555"/>
      <c r="C325" s="533" t="s">
        <v>1570</v>
      </c>
      <c r="D325" s="1160"/>
      <c r="E325" s="536" t="s">
        <v>11</v>
      </c>
      <c r="F325" s="556">
        <v>2</v>
      </c>
      <c r="G325" s="1210"/>
      <c r="H325" s="464">
        <f t="shared" si="4"/>
        <v>0</v>
      </c>
      <c r="I325" s="557"/>
      <c r="J325" s="557"/>
    </row>
    <row r="326" spans="2:10" s="554" customFormat="1" ht="36">
      <c r="B326" s="555"/>
      <c r="C326" s="533" t="s">
        <v>1571</v>
      </c>
      <c r="D326" s="1160"/>
      <c r="E326" s="536" t="s">
        <v>21</v>
      </c>
      <c r="F326" s="556">
        <v>1</v>
      </c>
      <c r="G326" s="1210"/>
      <c r="H326" s="464">
        <f t="shared" si="4"/>
        <v>0</v>
      </c>
      <c r="I326" s="557"/>
      <c r="J326" s="557"/>
    </row>
    <row r="327" spans="2:10">
      <c r="B327" s="555"/>
      <c r="C327" s="533"/>
      <c r="D327" s="1160"/>
      <c r="E327" s="536"/>
      <c r="F327" s="556"/>
      <c r="G327" s="1210"/>
      <c r="H327" s="505"/>
    </row>
    <row r="328" spans="2:10" ht="66" customHeight="1">
      <c r="B328" s="555" t="s">
        <v>1572</v>
      </c>
      <c r="C328" s="559" t="s">
        <v>1573</v>
      </c>
      <c r="D328" s="1167"/>
      <c r="E328" s="487"/>
      <c r="F328" s="475"/>
      <c r="G328" s="1210"/>
      <c r="H328" s="534"/>
    </row>
    <row r="329" spans="2:10">
      <c r="B329" s="555"/>
      <c r="C329" s="559" t="s">
        <v>1574</v>
      </c>
      <c r="D329" s="1167"/>
      <c r="E329" s="624" t="s">
        <v>514</v>
      </c>
      <c r="F329" s="475">
        <v>80</v>
      </c>
      <c r="G329" s="1210"/>
      <c r="H329" s="464">
        <f t="shared" ref="H329:H330" si="5">SUM(F329*G329)</f>
        <v>0</v>
      </c>
    </row>
    <row r="330" spans="2:10">
      <c r="B330" s="555"/>
      <c r="C330" s="559" t="s">
        <v>1575</v>
      </c>
      <c r="D330" s="1167"/>
      <c r="E330" s="624" t="s">
        <v>514</v>
      </c>
      <c r="F330" s="475">
        <v>100</v>
      </c>
      <c r="G330" s="1210"/>
      <c r="H330" s="464">
        <f t="shared" si="5"/>
        <v>0</v>
      </c>
    </row>
    <row r="331" spans="2:10">
      <c r="B331" s="558" t="s">
        <v>1405</v>
      </c>
      <c r="C331" s="533"/>
      <c r="D331" s="1160"/>
      <c r="E331" s="536"/>
      <c r="F331" s="556"/>
      <c r="G331" s="1210"/>
      <c r="H331" s="534"/>
    </row>
    <row r="332" spans="2:10" ht="36">
      <c r="B332" s="558" t="s">
        <v>1576</v>
      </c>
      <c r="C332" s="560" t="s">
        <v>1577</v>
      </c>
      <c r="D332" s="1168"/>
      <c r="E332" s="536" t="s">
        <v>11</v>
      </c>
      <c r="F332" s="556">
        <v>65</v>
      </c>
      <c r="G332" s="1210"/>
      <c r="H332" s="464">
        <f>SUM(F332*G332)</f>
        <v>0</v>
      </c>
    </row>
    <row r="333" spans="2:10">
      <c r="B333" s="555"/>
      <c r="C333" s="561"/>
      <c r="D333" s="1169"/>
      <c r="E333" s="536"/>
      <c r="F333" s="556"/>
      <c r="G333" s="1210"/>
      <c r="H333" s="505"/>
    </row>
    <row r="334" spans="2:10" ht="48">
      <c r="B334" s="555" t="s">
        <v>495</v>
      </c>
      <c r="C334" s="560" t="s">
        <v>1578</v>
      </c>
      <c r="D334" s="1168"/>
      <c r="E334" s="536"/>
      <c r="F334" s="556"/>
      <c r="G334" s="1210"/>
      <c r="H334" s="505"/>
    </row>
    <row r="335" spans="2:10" ht="24">
      <c r="B335" s="555"/>
      <c r="C335" s="560" t="s">
        <v>1579</v>
      </c>
      <c r="D335" s="1168"/>
      <c r="E335" s="536" t="s">
        <v>21</v>
      </c>
      <c r="F335" s="556">
        <v>2</v>
      </c>
      <c r="G335" s="1210"/>
      <c r="H335" s="464">
        <f>SUM(F335*G335)</f>
        <v>0</v>
      </c>
    </row>
    <row r="336" spans="2:10" ht="24">
      <c r="B336" s="555"/>
      <c r="C336" s="560" t="s">
        <v>1580</v>
      </c>
      <c r="D336" s="1168"/>
      <c r="E336" s="536" t="s">
        <v>21</v>
      </c>
      <c r="F336" s="556">
        <v>25</v>
      </c>
      <c r="G336" s="1210"/>
      <c r="H336" s="464">
        <f t="shared" ref="H336:H339" si="6">SUM(F336*G336)</f>
        <v>0</v>
      </c>
    </row>
    <row r="337" spans="2:10">
      <c r="B337" s="555" t="s">
        <v>495</v>
      </c>
      <c r="C337" s="561" t="s">
        <v>1581</v>
      </c>
      <c r="D337" s="1169"/>
      <c r="E337" s="536" t="s">
        <v>514</v>
      </c>
      <c r="F337" s="556">
        <v>250</v>
      </c>
      <c r="G337" s="1210"/>
      <c r="H337" s="464">
        <f t="shared" si="6"/>
        <v>0</v>
      </c>
    </row>
    <row r="338" spans="2:10" ht="16.5" customHeight="1">
      <c r="B338" s="555"/>
      <c r="C338" s="561" t="s">
        <v>1582</v>
      </c>
      <c r="D338" s="1169"/>
      <c r="E338" s="536" t="s">
        <v>514</v>
      </c>
      <c r="F338" s="556">
        <v>420</v>
      </c>
      <c r="G338" s="1210"/>
      <c r="H338" s="464">
        <f t="shared" si="6"/>
        <v>0</v>
      </c>
    </row>
    <row r="339" spans="2:10" s="554" customFormat="1">
      <c r="B339" s="555" t="s">
        <v>495</v>
      </c>
      <c r="C339" s="561" t="s">
        <v>1583</v>
      </c>
      <c r="D339" s="1169"/>
      <c r="E339" s="536" t="s">
        <v>21</v>
      </c>
      <c r="F339" s="556">
        <v>1</v>
      </c>
      <c r="G339" s="1210"/>
      <c r="H339" s="464">
        <f t="shared" si="6"/>
        <v>0</v>
      </c>
      <c r="I339" s="557"/>
      <c r="J339" s="557"/>
    </row>
    <row r="340" spans="2:10">
      <c r="B340" s="555"/>
      <c r="C340" s="561"/>
      <c r="D340" s="1169"/>
      <c r="E340" s="536"/>
      <c r="F340" s="556"/>
      <c r="G340" s="1210"/>
      <c r="H340" s="505"/>
    </row>
    <row r="341" spans="2:10">
      <c r="B341" s="555" t="s">
        <v>1405</v>
      </c>
      <c r="C341" s="533"/>
      <c r="D341" s="1160"/>
      <c r="E341" s="536"/>
      <c r="F341" s="556"/>
      <c r="G341" s="1210"/>
      <c r="H341" s="505"/>
    </row>
    <row r="342" spans="2:10" ht="28.5" customHeight="1">
      <c r="B342" s="555" t="s">
        <v>1584</v>
      </c>
      <c r="C342" s="561" t="s">
        <v>1585</v>
      </c>
      <c r="D342" s="1169"/>
      <c r="E342" s="536"/>
      <c r="F342" s="556"/>
      <c r="G342" s="1210"/>
      <c r="H342" s="505"/>
    </row>
    <row r="343" spans="2:10" s="554" customFormat="1">
      <c r="B343" s="555"/>
      <c r="C343" s="561" t="s">
        <v>1586</v>
      </c>
      <c r="D343" s="1169"/>
      <c r="E343" s="536" t="s">
        <v>11</v>
      </c>
      <c r="F343" s="556">
        <v>2</v>
      </c>
      <c r="G343" s="1210"/>
      <c r="H343" s="464">
        <f t="shared" ref="H343:H346" si="7">SUM(F343*G343)</f>
        <v>0</v>
      </c>
      <c r="I343" s="557"/>
      <c r="J343" s="557"/>
    </row>
    <row r="344" spans="2:10" ht="14.25">
      <c r="B344" s="555" t="s">
        <v>495</v>
      </c>
      <c r="C344" s="561" t="s">
        <v>1587</v>
      </c>
      <c r="D344" s="1169"/>
      <c r="E344" s="536" t="s">
        <v>514</v>
      </c>
      <c r="F344" s="556">
        <v>240</v>
      </c>
      <c r="G344" s="1210"/>
      <c r="H344" s="464">
        <f t="shared" si="7"/>
        <v>0</v>
      </c>
    </row>
    <row r="345" spans="2:10" ht="20.25" customHeight="1">
      <c r="B345" s="555"/>
      <c r="C345" s="561" t="s">
        <v>1588</v>
      </c>
      <c r="D345" s="1169"/>
      <c r="E345" s="536" t="s">
        <v>514</v>
      </c>
      <c r="F345" s="556">
        <v>265</v>
      </c>
      <c r="G345" s="1210"/>
      <c r="H345" s="464">
        <f t="shared" si="7"/>
        <v>0</v>
      </c>
    </row>
    <row r="346" spans="2:10">
      <c r="B346" s="555" t="s">
        <v>495</v>
      </c>
      <c r="C346" s="561" t="s">
        <v>1589</v>
      </c>
      <c r="D346" s="1169"/>
      <c r="E346" s="536" t="s">
        <v>514</v>
      </c>
      <c r="F346" s="556">
        <v>360</v>
      </c>
      <c r="G346" s="1210"/>
      <c r="H346" s="464">
        <f t="shared" si="7"/>
        <v>0</v>
      </c>
      <c r="I346" s="455"/>
      <c r="J346" s="455"/>
    </row>
    <row r="347" spans="2:10" ht="31.5" customHeight="1">
      <c r="B347" s="555"/>
      <c r="C347" s="561" t="s">
        <v>1590</v>
      </c>
      <c r="D347" s="1169"/>
      <c r="E347" s="536" t="s">
        <v>21</v>
      </c>
      <c r="F347" s="556">
        <v>1</v>
      </c>
      <c r="G347" s="1210"/>
      <c r="H347" s="464">
        <f>SUM(F347*G347)</f>
        <v>0</v>
      </c>
      <c r="I347" s="455"/>
      <c r="J347" s="455"/>
    </row>
    <row r="348" spans="2:10">
      <c r="B348" s="555" t="s">
        <v>1405</v>
      </c>
      <c r="D348" s="1170"/>
      <c r="G348" s="1225"/>
      <c r="I348" s="455"/>
      <c r="J348" s="455"/>
    </row>
    <row r="349" spans="2:10">
      <c r="B349" s="555"/>
      <c r="D349" s="1170"/>
      <c r="G349" s="1225"/>
      <c r="I349" s="455"/>
      <c r="J349" s="455"/>
    </row>
    <row r="350" spans="2:10" ht="15" customHeight="1">
      <c r="B350" s="563"/>
      <c r="C350" s="564"/>
      <c r="D350" s="1171"/>
      <c r="E350" s="565"/>
      <c r="F350" s="566"/>
      <c r="G350" s="1226"/>
      <c r="H350" s="1140"/>
      <c r="I350" s="455"/>
      <c r="J350" s="455"/>
    </row>
    <row r="351" spans="2:10" ht="30" customHeight="1">
      <c r="B351" s="555" t="s">
        <v>1591</v>
      </c>
      <c r="C351" s="532" t="s">
        <v>1592</v>
      </c>
      <c r="D351" s="1159"/>
      <c r="G351" s="1225"/>
      <c r="H351" s="595">
        <f>SUM(H237:H350)</f>
        <v>0</v>
      </c>
      <c r="I351" s="455"/>
      <c r="J351" s="455"/>
    </row>
    <row r="352" spans="2:10" ht="12.75" customHeight="1">
      <c r="B352" s="555"/>
      <c r="D352" s="1170"/>
      <c r="G352" s="1225"/>
      <c r="I352" s="455"/>
      <c r="J352" s="455"/>
    </row>
    <row r="353" spans="2:10" ht="12.75" customHeight="1">
      <c r="B353" s="555"/>
      <c r="D353" s="1170"/>
      <c r="G353" s="1225"/>
      <c r="I353" s="455"/>
      <c r="J353" s="455"/>
    </row>
    <row r="354" spans="2:10" ht="12.75" customHeight="1">
      <c r="B354" s="567" t="s">
        <v>1593</v>
      </c>
      <c r="C354" s="568" t="s">
        <v>1594</v>
      </c>
      <c r="D354" s="1172"/>
      <c r="E354" s="624"/>
      <c r="F354" s="475"/>
      <c r="G354" s="1208"/>
      <c r="H354" s="464"/>
      <c r="I354" s="455"/>
      <c r="J354" s="455"/>
    </row>
    <row r="355" spans="2:10" ht="12.75" customHeight="1">
      <c r="B355" s="558"/>
      <c r="C355" s="569"/>
      <c r="D355" s="1173"/>
      <c r="E355" s="624"/>
      <c r="F355" s="475"/>
      <c r="G355" s="1208"/>
      <c r="H355" s="464"/>
      <c r="I355" s="455"/>
      <c r="J355" s="455"/>
    </row>
    <row r="356" spans="2:10" ht="53.25" customHeight="1">
      <c r="B356" s="555"/>
      <c r="C356" s="570" t="s">
        <v>1595</v>
      </c>
      <c r="D356" s="1174"/>
      <c r="E356" s="624"/>
      <c r="F356" s="475"/>
      <c r="G356" s="1208"/>
      <c r="H356" s="464"/>
      <c r="I356" s="455"/>
      <c r="J356" s="455"/>
    </row>
    <row r="357" spans="2:10" ht="12.75" customHeight="1">
      <c r="B357" s="555"/>
      <c r="C357" s="571"/>
      <c r="D357" s="1175"/>
      <c r="E357" s="624"/>
      <c r="F357" s="475"/>
      <c r="G357" s="1208"/>
      <c r="H357" s="464"/>
      <c r="I357" s="455"/>
      <c r="J357" s="455"/>
    </row>
    <row r="358" spans="2:10" ht="51" customHeight="1">
      <c r="B358" s="555" t="s">
        <v>1596</v>
      </c>
      <c r="C358" s="570" t="s">
        <v>1597</v>
      </c>
      <c r="D358" s="1174"/>
      <c r="E358" s="624"/>
      <c r="F358" s="475"/>
      <c r="G358" s="1208"/>
      <c r="H358" s="464"/>
      <c r="I358" s="455"/>
      <c r="J358" s="455"/>
    </row>
    <row r="359" spans="2:10" ht="30" customHeight="1">
      <c r="B359" s="555"/>
      <c r="C359" s="494" t="s">
        <v>1431</v>
      </c>
      <c r="D359" s="1144"/>
      <c r="E359" s="624"/>
      <c r="F359" s="475"/>
      <c r="G359" s="1208"/>
      <c r="H359" s="464"/>
      <c r="I359" s="455"/>
      <c r="J359" s="455"/>
    </row>
    <row r="360" spans="2:10" ht="49.5" customHeight="1">
      <c r="B360" s="555"/>
      <c r="C360" s="570" t="s">
        <v>1598</v>
      </c>
      <c r="D360" s="1174"/>
      <c r="E360" s="624"/>
      <c r="F360" s="475"/>
      <c r="G360" s="1208"/>
      <c r="H360" s="464"/>
      <c r="I360" s="455"/>
      <c r="J360" s="455"/>
    </row>
    <row r="361" spans="2:10" ht="30" customHeight="1">
      <c r="B361" s="555"/>
      <c r="C361" s="494" t="s">
        <v>1431</v>
      </c>
      <c r="D361" s="1144"/>
      <c r="E361" s="624"/>
      <c r="F361" s="475"/>
      <c r="G361" s="1208"/>
      <c r="H361" s="464"/>
      <c r="I361" s="455"/>
      <c r="J361" s="455"/>
    </row>
    <row r="362" spans="2:10" ht="12.75" customHeight="1">
      <c r="B362" s="555"/>
      <c r="C362" s="570" t="s">
        <v>1599</v>
      </c>
      <c r="D362" s="1174"/>
      <c r="E362" s="624" t="s">
        <v>21</v>
      </c>
      <c r="F362" s="475">
        <v>1</v>
      </c>
      <c r="G362" s="1208"/>
      <c r="H362" s="464">
        <f>SUM(F362*G362)</f>
        <v>0</v>
      </c>
      <c r="I362" s="455"/>
      <c r="J362" s="455"/>
    </row>
    <row r="363" spans="2:10" ht="12.75" customHeight="1">
      <c r="B363" s="555"/>
      <c r="C363" s="571"/>
      <c r="D363" s="1175"/>
      <c r="E363" s="624"/>
      <c r="F363" s="475"/>
      <c r="G363" s="1208"/>
      <c r="H363" s="464"/>
      <c r="I363" s="455"/>
      <c r="J363" s="455"/>
    </row>
    <row r="364" spans="2:10" ht="51" customHeight="1">
      <c r="B364" s="555" t="s">
        <v>1600</v>
      </c>
      <c r="C364" s="570" t="s">
        <v>1601</v>
      </c>
      <c r="D364" s="1174"/>
      <c r="E364" s="624"/>
      <c r="F364" s="475"/>
      <c r="G364" s="1208"/>
      <c r="H364" s="464"/>
      <c r="I364" s="455"/>
      <c r="J364" s="455"/>
    </row>
    <row r="365" spans="2:10" ht="31.5" customHeight="1">
      <c r="B365" s="555"/>
      <c r="C365" s="494" t="s">
        <v>1431</v>
      </c>
      <c r="D365" s="1144"/>
      <c r="E365" s="624"/>
      <c r="F365" s="475"/>
      <c r="G365" s="1208"/>
      <c r="H365" s="464"/>
      <c r="I365" s="455"/>
      <c r="J365" s="455"/>
    </row>
    <row r="366" spans="2:10" ht="29.25" customHeight="1">
      <c r="B366" s="555"/>
      <c r="C366" s="570" t="s">
        <v>1602</v>
      </c>
      <c r="D366" s="1174"/>
      <c r="E366" s="624" t="s">
        <v>11</v>
      </c>
      <c r="F366" s="475">
        <v>10</v>
      </c>
      <c r="G366" s="1208"/>
      <c r="H366" s="464">
        <f>SUM(F366*G366)</f>
        <v>0</v>
      </c>
      <c r="I366" s="455"/>
      <c r="J366" s="455"/>
    </row>
    <row r="367" spans="2:10" ht="12.75" customHeight="1">
      <c r="B367" s="555"/>
      <c r="C367" s="571"/>
      <c r="D367" s="1175"/>
      <c r="E367" s="624"/>
      <c r="F367" s="475"/>
      <c r="G367" s="1208"/>
      <c r="H367" s="464"/>
      <c r="I367" s="455"/>
      <c r="J367" s="455"/>
    </row>
    <row r="368" spans="2:10" ht="30" customHeight="1">
      <c r="B368" s="472">
        <v>3</v>
      </c>
      <c r="C368" s="572" t="s">
        <v>1603</v>
      </c>
      <c r="D368" s="1176"/>
      <c r="E368" s="573"/>
      <c r="F368" s="574"/>
      <c r="G368" s="1208"/>
      <c r="H368" s="464"/>
      <c r="I368" s="455"/>
      <c r="J368" s="455"/>
    </row>
    <row r="369" spans="2:10" ht="12.75" customHeight="1">
      <c r="B369" s="575"/>
      <c r="C369" s="576" t="s">
        <v>1604</v>
      </c>
      <c r="D369" s="1177"/>
      <c r="E369" s="573" t="s">
        <v>11</v>
      </c>
      <c r="F369" s="574">
        <v>1</v>
      </c>
      <c r="G369" s="1208"/>
      <c r="H369" s="464">
        <f t="shared" ref="H369:H373" si="8">SUM(F369*G369)</f>
        <v>0</v>
      </c>
      <c r="I369" s="455"/>
      <c r="J369" s="455"/>
    </row>
    <row r="370" spans="2:10" ht="12.75" customHeight="1">
      <c r="B370" s="575"/>
      <c r="C370" s="577" t="s">
        <v>1605</v>
      </c>
      <c r="D370" s="1178"/>
      <c r="E370" s="573" t="s">
        <v>11</v>
      </c>
      <c r="F370" s="574">
        <v>3</v>
      </c>
      <c r="G370" s="1208"/>
      <c r="H370" s="464">
        <f t="shared" si="8"/>
        <v>0</v>
      </c>
      <c r="I370" s="455"/>
      <c r="J370" s="455"/>
    </row>
    <row r="371" spans="2:10" ht="12.75" customHeight="1">
      <c r="B371" s="575"/>
      <c r="C371" s="578" t="s">
        <v>1606</v>
      </c>
      <c r="D371" s="1179"/>
      <c r="E371" s="573" t="s">
        <v>11</v>
      </c>
      <c r="F371" s="574">
        <v>1</v>
      </c>
      <c r="G371" s="1208"/>
      <c r="H371" s="464">
        <f t="shared" si="8"/>
        <v>0</v>
      </c>
      <c r="I371" s="455"/>
      <c r="J371" s="455"/>
    </row>
    <row r="372" spans="2:10" ht="12.75" customHeight="1">
      <c r="B372" s="575"/>
      <c r="C372" s="579" t="s">
        <v>1607</v>
      </c>
      <c r="D372" s="1180"/>
      <c r="E372" s="573" t="s">
        <v>11</v>
      </c>
      <c r="F372" s="580">
        <v>3</v>
      </c>
      <c r="G372" s="1209"/>
      <c r="H372" s="464">
        <f t="shared" si="8"/>
        <v>0</v>
      </c>
      <c r="I372" s="455"/>
      <c r="J372" s="455"/>
    </row>
    <row r="373" spans="2:10" ht="12.75" customHeight="1">
      <c r="B373" s="575"/>
      <c r="C373" s="581" t="s">
        <v>1608</v>
      </c>
      <c r="D373" s="1181"/>
      <c r="E373" s="582" t="s">
        <v>21</v>
      </c>
      <c r="F373" s="574">
        <v>1</v>
      </c>
      <c r="G373" s="1208"/>
      <c r="H373" s="464">
        <f t="shared" si="8"/>
        <v>0</v>
      </c>
      <c r="I373" s="455"/>
      <c r="J373" s="455"/>
    </row>
    <row r="374" spans="2:10" ht="33" customHeight="1">
      <c r="B374" s="575"/>
      <c r="C374" s="583" t="s">
        <v>1609</v>
      </c>
      <c r="D374" s="722"/>
      <c r="E374" s="487"/>
      <c r="F374" s="487"/>
      <c r="G374" s="1208"/>
      <c r="H374" s="464"/>
      <c r="I374" s="455"/>
      <c r="J374" s="455"/>
    </row>
    <row r="375" spans="2:10" ht="12.75" customHeight="1">
      <c r="B375" s="555"/>
      <c r="C375" s="571"/>
      <c r="D375" s="1175"/>
      <c r="E375" s="624"/>
      <c r="F375" s="475"/>
      <c r="G375" s="1208"/>
      <c r="H375" s="464"/>
      <c r="I375" s="455"/>
      <c r="J375" s="455"/>
    </row>
    <row r="376" spans="2:10" ht="31.5" customHeight="1">
      <c r="B376" s="472">
        <v>4</v>
      </c>
      <c r="C376" s="572" t="s">
        <v>1610</v>
      </c>
      <c r="D376" s="1176"/>
      <c r="E376" s="573"/>
      <c r="F376" s="574"/>
      <c r="G376" s="1208"/>
      <c r="H376" s="464"/>
      <c r="I376" s="455"/>
      <c r="J376" s="455"/>
    </row>
    <row r="377" spans="2:10" ht="12.75" customHeight="1">
      <c r="B377" s="575"/>
      <c r="C377" s="576" t="s">
        <v>1604</v>
      </c>
      <c r="D377" s="1177"/>
      <c r="E377" s="573" t="s">
        <v>11</v>
      </c>
      <c r="F377" s="574">
        <v>1</v>
      </c>
      <c r="G377" s="1208"/>
      <c r="H377" s="464">
        <f t="shared" ref="H377:H381" si="9">SUM(F377*G377)</f>
        <v>0</v>
      </c>
      <c r="I377" s="455"/>
      <c r="J377" s="455"/>
    </row>
    <row r="378" spans="2:10" ht="12.75" customHeight="1">
      <c r="B378" s="575"/>
      <c r="C378" s="577" t="s">
        <v>1605</v>
      </c>
      <c r="D378" s="1178"/>
      <c r="E378" s="573" t="s">
        <v>11</v>
      </c>
      <c r="F378" s="574">
        <v>2</v>
      </c>
      <c r="G378" s="1208"/>
      <c r="H378" s="464">
        <f t="shared" si="9"/>
        <v>0</v>
      </c>
      <c r="I378" s="455"/>
      <c r="J378" s="455"/>
    </row>
    <row r="379" spans="2:10" ht="12.75" customHeight="1">
      <c r="B379" s="575"/>
      <c r="C379" s="578" t="s">
        <v>1606</v>
      </c>
      <c r="D379" s="1179"/>
      <c r="E379" s="573" t="s">
        <v>11</v>
      </c>
      <c r="F379" s="574">
        <v>1</v>
      </c>
      <c r="G379" s="1208"/>
      <c r="H379" s="464">
        <f t="shared" si="9"/>
        <v>0</v>
      </c>
      <c r="I379" s="455"/>
      <c r="J379" s="455"/>
    </row>
    <row r="380" spans="2:10" ht="12.75" customHeight="1">
      <c r="B380" s="575"/>
      <c r="C380" s="579" t="s">
        <v>1607</v>
      </c>
      <c r="D380" s="1180"/>
      <c r="E380" s="573" t="s">
        <v>11</v>
      </c>
      <c r="F380" s="580">
        <v>2</v>
      </c>
      <c r="G380" s="1209"/>
      <c r="H380" s="464">
        <f t="shared" si="9"/>
        <v>0</v>
      </c>
      <c r="I380" s="455"/>
      <c r="J380" s="455"/>
    </row>
    <row r="381" spans="2:10" ht="12.75" customHeight="1">
      <c r="B381" s="575"/>
      <c r="C381" s="581" t="s">
        <v>1608</v>
      </c>
      <c r="D381" s="1181"/>
      <c r="E381" s="582" t="s">
        <v>21</v>
      </c>
      <c r="F381" s="574">
        <v>1</v>
      </c>
      <c r="G381" s="1208"/>
      <c r="H381" s="464">
        <f t="shared" si="9"/>
        <v>0</v>
      </c>
      <c r="I381" s="455"/>
      <c r="J381" s="455"/>
    </row>
    <row r="382" spans="2:10" ht="12.75" customHeight="1">
      <c r="B382" s="575"/>
      <c r="C382" s="583" t="s">
        <v>1609</v>
      </c>
      <c r="D382" s="722"/>
      <c r="E382" s="487"/>
      <c r="F382" s="487"/>
      <c r="G382" s="1208"/>
      <c r="H382" s="464"/>
      <c r="I382" s="455"/>
      <c r="J382" s="455"/>
    </row>
    <row r="383" spans="2:10" ht="12.75" customHeight="1">
      <c r="B383" s="555"/>
      <c r="C383" s="571"/>
      <c r="D383" s="1175"/>
      <c r="E383" s="624"/>
      <c r="F383" s="475"/>
      <c r="G383" s="1208"/>
      <c r="H383" s="464"/>
      <c r="I383" s="455"/>
      <c r="J383" s="455"/>
    </row>
    <row r="384" spans="2:10" ht="63" customHeight="1">
      <c r="B384" s="555" t="s">
        <v>1611</v>
      </c>
      <c r="C384" s="570" t="s">
        <v>1612</v>
      </c>
      <c r="D384" s="1174"/>
      <c r="E384" s="624" t="s">
        <v>11</v>
      </c>
      <c r="F384" s="475">
        <v>2</v>
      </c>
      <c r="G384" s="1208"/>
      <c r="H384" s="464">
        <f>SUM(F384*G384)</f>
        <v>0</v>
      </c>
      <c r="I384" s="455"/>
      <c r="J384" s="455"/>
    </row>
    <row r="385" spans="2:10" ht="12.75" customHeight="1">
      <c r="B385" s="555"/>
      <c r="C385" s="571"/>
      <c r="D385" s="1175"/>
      <c r="E385" s="624"/>
      <c r="F385" s="475"/>
      <c r="G385" s="1208"/>
      <c r="H385" s="464"/>
      <c r="I385" s="455"/>
      <c r="J385" s="455"/>
    </row>
    <row r="386" spans="2:10" ht="42" customHeight="1">
      <c r="B386" s="555" t="s">
        <v>1613</v>
      </c>
      <c r="C386" s="570" t="s">
        <v>1614</v>
      </c>
      <c r="D386" s="1174"/>
      <c r="E386" s="624" t="s">
        <v>11</v>
      </c>
      <c r="F386" s="475">
        <v>64</v>
      </c>
      <c r="G386" s="1208"/>
      <c r="H386" s="464">
        <f>SUM(F386*G386)</f>
        <v>0</v>
      </c>
      <c r="I386" s="455"/>
      <c r="J386" s="455"/>
    </row>
    <row r="387" spans="2:10" ht="12.75" customHeight="1">
      <c r="B387" s="555"/>
      <c r="C387" s="571"/>
      <c r="D387" s="1175"/>
      <c r="E387" s="624"/>
      <c r="F387" s="475"/>
      <c r="G387" s="1208"/>
      <c r="H387" s="464"/>
      <c r="I387" s="455"/>
      <c r="J387" s="455"/>
    </row>
    <row r="388" spans="2:10" ht="29.25" customHeight="1">
      <c r="B388" s="555" t="s">
        <v>1615</v>
      </c>
      <c r="C388" s="570" t="s">
        <v>1616</v>
      </c>
      <c r="D388" s="1174"/>
      <c r="E388" s="624"/>
      <c r="F388" s="475"/>
      <c r="G388" s="1208"/>
      <c r="H388" s="464"/>
      <c r="I388" s="455"/>
      <c r="J388" s="455"/>
    </row>
    <row r="389" spans="2:10" ht="27.75" customHeight="1">
      <c r="B389" s="555"/>
      <c r="C389" s="570" t="s">
        <v>1617</v>
      </c>
      <c r="D389" s="1174"/>
      <c r="E389" s="624"/>
      <c r="F389" s="475"/>
      <c r="G389" s="1208"/>
      <c r="H389" s="464"/>
      <c r="I389" s="455"/>
      <c r="J389" s="455"/>
    </row>
    <row r="390" spans="2:10" ht="12.75" customHeight="1">
      <c r="B390" s="555" t="s">
        <v>495</v>
      </c>
      <c r="C390" s="571" t="s">
        <v>1618</v>
      </c>
      <c r="D390" s="1175"/>
      <c r="E390" s="624" t="s">
        <v>514</v>
      </c>
      <c r="F390" s="475">
        <v>420</v>
      </c>
      <c r="G390" s="1208"/>
      <c r="H390" s="464">
        <f>SUM(F390*G390)</f>
        <v>0</v>
      </c>
      <c r="I390" s="455"/>
      <c r="J390" s="455"/>
    </row>
    <row r="391" spans="2:10" ht="12.75" customHeight="1">
      <c r="B391" s="555" t="s">
        <v>495</v>
      </c>
      <c r="C391" s="571" t="s">
        <v>1619</v>
      </c>
      <c r="D391" s="1175"/>
      <c r="E391" s="624" t="s">
        <v>514</v>
      </c>
      <c r="F391" s="475">
        <v>150</v>
      </c>
      <c r="G391" s="1208"/>
      <c r="H391" s="464">
        <f>SUM(F391*G391)</f>
        <v>0</v>
      </c>
      <c r="I391" s="455"/>
      <c r="J391" s="455"/>
    </row>
    <row r="392" spans="2:10" ht="12.75" customHeight="1">
      <c r="B392" s="555"/>
      <c r="C392" s="571"/>
      <c r="D392" s="1175"/>
      <c r="E392" s="624"/>
      <c r="F392" s="475"/>
      <c r="G392" s="1208"/>
      <c r="H392" s="464"/>
      <c r="I392" s="455"/>
      <c r="J392" s="455"/>
    </row>
    <row r="393" spans="2:10" ht="28.5" customHeight="1">
      <c r="B393" s="555" t="s">
        <v>1620</v>
      </c>
      <c r="C393" s="570" t="s">
        <v>1621</v>
      </c>
      <c r="D393" s="1174"/>
      <c r="E393" s="624"/>
      <c r="F393" s="475"/>
      <c r="G393" s="1208"/>
      <c r="H393" s="464"/>
      <c r="I393" s="455"/>
      <c r="J393" s="455"/>
    </row>
    <row r="394" spans="2:10" ht="23.25" customHeight="1">
      <c r="B394" s="555"/>
      <c r="C394" s="570" t="s">
        <v>1622</v>
      </c>
      <c r="D394" s="1174"/>
      <c r="E394" s="624"/>
      <c r="F394" s="475"/>
      <c r="G394" s="1208"/>
      <c r="H394" s="464"/>
      <c r="I394" s="455"/>
      <c r="J394" s="455"/>
    </row>
    <row r="395" spans="2:10" ht="12.75" customHeight="1">
      <c r="B395" s="555" t="s">
        <v>495</v>
      </c>
      <c r="C395" s="571" t="s">
        <v>1623</v>
      </c>
      <c r="D395" s="1175"/>
      <c r="E395" s="624" t="s">
        <v>514</v>
      </c>
      <c r="F395" s="475">
        <v>75</v>
      </c>
      <c r="G395" s="1208"/>
      <c r="H395" s="464">
        <f t="shared" ref="H395:H396" si="10">SUM(F395*G395)</f>
        <v>0</v>
      </c>
      <c r="I395" s="455"/>
      <c r="J395" s="455"/>
    </row>
    <row r="396" spans="2:10" ht="12.75" customHeight="1">
      <c r="B396" s="555" t="s">
        <v>495</v>
      </c>
      <c r="C396" s="571" t="s">
        <v>1624</v>
      </c>
      <c r="D396" s="1175"/>
      <c r="E396" s="624" t="s">
        <v>514</v>
      </c>
      <c r="F396" s="475">
        <v>210</v>
      </c>
      <c r="G396" s="1208"/>
      <c r="H396" s="464">
        <f t="shared" si="10"/>
        <v>0</v>
      </c>
      <c r="I396" s="455"/>
      <c r="J396" s="455"/>
    </row>
    <row r="397" spans="2:10" ht="12.75" customHeight="1">
      <c r="B397" s="555"/>
      <c r="C397" s="571"/>
      <c r="D397" s="1175"/>
      <c r="E397" s="624"/>
      <c r="F397" s="475"/>
      <c r="G397" s="1208"/>
      <c r="H397" s="464"/>
      <c r="I397" s="455"/>
      <c r="J397" s="455"/>
    </row>
    <row r="398" spans="2:10" ht="61.5" customHeight="1">
      <c r="B398" s="555" t="s">
        <v>1625</v>
      </c>
      <c r="C398" s="570" t="s">
        <v>1626</v>
      </c>
      <c r="D398" s="1174"/>
      <c r="E398" s="624" t="s">
        <v>514</v>
      </c>
      <c r="F398" s="475">
        <v>15</v>
      </c>
      <c r="G398" s="1208"/>
      <c r="H398" s="464">
        <f>SUM(F398*G398)</f>
        <v>0</v>
      </c>
      <c r="I398" s="455"/>
      <c r="J398" s="455"/>
    </row>
    <row r="399" spans="2:10" ht="12.75" customHeight="1">
      <c r="B399" s="555"/>
      <c r="C399" s="571"/>
      <c r="D399" s="1175"/>
      <c r="E399" s="624"/>
      <c r="F399" s="475"/>
      <c r="G399" s="1208"/>
      <c r="H399" s="464"/>
      <c r="I399" s="455"/>
      <c r="J399" s="455"/>
    </row>
    <row r="400" spans="2:10" ht="59.25" customHeight="1">
      <c r="B400" s="555" t="s">
        <v>1398</v>
      </c>
      <c r="C400" s="570" t="s">
        <v>1627</v>
      </c>
      <c r="D400" s="1174"/>
      <c r="E400" s="624" t="s">
        <v>11</v>
      </c>
      <c r="F400" s="475">
        <v>1</v>
      </c>
      <c r="G400" s="1208"/>
      <c r="H400" s="464">
        <f>SUM(F400*G400)</f>
        <v>0</v>
      </c>
      <c r="I400" s="455"/>
      <c r="J400" s="455"/>
    </row>
    <row r="401" spans="2:10" ht="12.75" customHeight="1">
      <c r="B401" s="555"/>
      <c r="C401" s="571"/>
      <c r="D401" s="1175"/>
      <c r="E401" s="624"/>
      <c r="F401" s="475"/>
      <c r="G401" s="1208"/>
      <c r="H401" s="464"/>
      <c r="I401" s="455"/>
      <c r="J401" s="455"/>
    </row>
    <row r="402" spans="2:10" ht="56.25" customHeight="1">
      <c r="B402" s="555" t="s">
        <v>1400</v>
      </c>
      <c r="C402" s="570" t="s">
        <v>1628</v>
      </c>
      <c r="D402" s="1174"/>
      <c r="E402" s="624" t="s">
        <v>514</v>
      </c>
      <c r="F402" s="475">
        <v>45</v>
      </c>
      <c r="G402" s="1208"/>
      <c r="H402" s="464">
        <f>SUM(F402*G402)</f>
        <v>0</v>
      </c>
      <c r="I402" s="455"/>
      <c r="J402" s="455"/>
    </row>
    <row r="403" spans="2:10" ht="12.75" customHeight="1">
      <c r="B403" s="555"/>
      <c r="C403" s="571"/>
      <c r="D403" s="1175"/>
      <c r="E403" s="624"/>
      <c r="F403" s="475"/>
      <c r="G403" s="1208"/>
      <c r="H403" s="464"/>
      <c r="I403" s="455"/>
      <c r="J403" s="455"/>
    </row>
    <row r="404" spans="2:10" ht="56.25" customHeight="1">
      <c r="B404" s="555" t="s">
        <v>1629</v>
      </c>
      <c r="C404" s="570" t="s">
        <v>1630</v>
      </c>
      <c r="D404" s="1174"/>
      <c r="E404" s="624" t="s">
        <v>514</v>
      </c>
      <c r="F404" s="475">
        <v>1580</v>
      </c>
      <c r="G404" s="1208"/>
      <c r="H404" s="464">
        <f>SUM(F404*G404)</f>
        <v>0</v>
      </c>
      <c r="I404" s="455"/>
      <c r="J404" s="455"/>
    </row>
    <row r="405" spans="2:10" ht="12.75" customHeight="1">
      <c r="B405" s="555"/>
      <c r="C405" s="571"/>
      <c r="D405" s="1175"/>
      <c r="E405" s="624"/>
      <c r="F405" s="475"/>
      <c r="G405" s="1208"/>
      <c r="H405" s="464"/>
      <c r="I405" s="455"/>
      <c r="J405" s="455"/>
    </row>
    <row r="406" spans="2:10" ht="30" customHeight="1">
      <c r="B406" s="555" t="s">
        <v>1631</v>
      </c>
      <c r="C406" s="570" t="s">
        <v>1632</v>
      </c>
      <c r="D406" s="1174"/>
      <c r="E406" s="624" t="s">
        <v>11</v>
      </c>
      <c r="F406" s="475">
        <v>64</v>
      </c>
      <c r="G406" s="1208"/>
      <c r="H406" s="464">
        <f>SUM(F406*G406)</f>
        <v>0</v>
      </c>
      <c r="I406" s="455"/>
      <c r="J406" s="455"/>
    </row>
    <row r="407" spans="2:10" ht="12.75" customHeight="1">
      <c r="B407" s="555"/>
      <c r="C407" s="571"/>
      <c r="D407" s="1175"/>
      <c r="E407" s="624"/>
      <c r="F407" s="475"/>
      <c r="G407" s="1208"/>
      <c r="H407" s="464"/>
      <c r="I407" s="455"/>
      <c r="J407" s="455"/>
    </row>
    <row r="408" spans="2:10" ht="52.5" customHeight="1">
      <c r="B408" s="555" t="s">
        <v>1633</v>
      </c>
      <c r="C408" s="570" t="s">
        <v>1634</v>
      </c>
      <c r="D408" s="1174"/>
      <c r="E408" s="624" t="s">
        <v>11</v>
      </c>
      <c r="F408" s="475">
        <v>64</v>
      </c>
      <c r="G408" s="1208"/>
      <c r="H408" s="464">
        <f>SUM(F408*G408)</f>
        <v>0</v>
      </c>
      <c r="I408" s="455"/>
      <c r="J408" s="455"/>
    </row>
    <row r="409" spans="2:10" ht="15" customHeight="1">
      <c r="B409" s="555"/>
      <c r="C409" s="570"/>
      <c r="D409" s="1174"/>
      <c r="E409" s="624"/>
      <c r="F409" s="475"/>
      <c r="G409" s="1208"/>
      <c r="H409" s="464"/>
      <c r="I409" s="455"/>
      <c r="J409" s="455"/>
    </row>
    <row r="410" spans="2:10" ht="30.75" customHeight="1">
      <c r="B410" s="555" t="s">
        <v>1635</v>
      </c>
      <c r="C410" s="570" t="s">
        <v>1636</v>
      </c>
      <c r="D410" s="1174"/>
      <c r="E410" s="624" t="s">
        <v>21</v>
      </c>
      <c r="F410" s="475">
        <v>1</v>
      </c>
      <c r="G410" s="1208"/>
      <c r="H410" s="464">
        <f>F410*G410</f>
        <v>0</v>
      </c>
      <c r="I410" s="455"/>
      <c r="J410" s="455"/>
    </row>
    <row r="411" spans="2:10" ht="13.5" customHeight="1">
      <c r="B411" s="555"/>
      <c r="C411" s="507"/>
      <c r="D411" s="1144"/>
      <c r="E411" s="624"/>
      <c r="F411" s="475"/>
      <c r="G411" s="1208"/>
      <c r="H411" s="464"/>
      <c r="I411" s="455"/>
      <c r="J411" s="455"/>
    </row>
    <row r="412" spans="2:10" ht="27.75" customHeight="1">
      <c r="B412" s="555" t="s">
        <v>1637</v>
      </c>
      <c r="C412" s="570" t="s">
        <v>1638</v>
      </c>
      <c r="D412" s="1174"/>
      <c r="E412" s="624" t="s">
        <v>21</v>
      </c>
      <c r="F412" s="475">
        <v>1</v>
      </c>
      <c r="G412" s="1208"/>
      <c r="H412" s="464">
        <f>SUM(F412*G412)</f>
        <v>0</v>
      </c>
      <c r="I412" s="455"/>
      <c r="J412" s="455"/>
    </row>
    <row r="413" spans="2:10">
      <c r="B413" s="584"/>
      <c r="C413" s="585"/>
      <c r="D413" s="1182"/>
      <c r="E413" s="1103"/>
      <c r="F413" s="586"/>
      <c r="G413" s="1211"/>
      <c r="H413" s="506"/>
      <c r="I413" s="455"/>
      <c r="J413" s="455"/>
    </row>
    <row r="414" spans="2:10" ht="25.5">
      <c r="B414" s="567" t="s">
        <v>1593</v>
      </c>
      <c r="C414" s="568" t="s">
        <v>1639</v>
      </c>
      <c r="D414" s="1172"/>
      <c r="E414" s="1104"/>
      <c r="F414" s="587"/>
      <c r="G414" s="1210"/>
      <c r="H414" s="505">
        <f>SUM(H357:I413)</f>
        <v>0</v>
      </c>
      <c r="I414" s="455"/>
      <c r="J414" s="455"/>
    </row>
    <row r="415" spans="2:10">
      <c r="B415" s="588"/>
      <c r="C415" s="554"/>
      <c r="D415" s="866"/>
      <c r="E415" s="1104"/>
      <c r="F415" s="587"/>
      <c r="G415" s="1210"/>
      <c r="H415" s="505"/>
      <c r="I415" s="455"/>
      <c r="J415" s="455"/>
    </row>
    <row r="416" spans="2:10">
      <c r="B416" s="588"/>
      <c r="C416" s="554"/>
      <c r="D416" s="866"/>
      <c r="E416" s="1104"/>
      <c r="F416" s="587"/>
      <c r="G416" s="1210"/>
      <c r="H416" s="505"/>
      <c r="I416" s="455"/>
      <c r="J416" s="455"/>
    </row>
    <row r="417" spans="2:10">
      <c r="B417" s="588"/>
      <c r="C417" s="554"/>
      <c r="D417" s="866"/>
      <c r="E417" s="1104"/>
      <c r="F417" s="587"/>
      <c r="G417" s="1210"/>
      <c r="H417" s="505"/>
      <c r="I417" s="455"/>
      <c r="J417" s="455"/>
    </row>
    <row r="418" spans="2:10">
      <c r="B418" s="589" t="s">
        <v>1640</v>
      </c>
      <c r="C418" s="590" t="s">
        <v>1641</v>
      </c>
      <c r="D418" s="1183"/>
      <c r="E418" s="624"/>
      <c r="F418" s="475"/>
      <c r="G418" s="1208"/>
      <c r="H418" s="464"/>
      <c r="I418" s="455"/>
      <c r="J418" s="455"/>
    </row>
    <row r="419" spans="2:10">
      <c r="B419" s="558"/>
      <c r="C419" s="590"/>
      <c r="D419" s="1183"/>
      <c r="E419" s="624"/>
      <c r="F419" s="475"/>
      <c r="G419" s="1208"/>
      <c r="H419" s="464"/>
      <c r="I419" s="455"/>
      <c r="J419" s="455"/>
    </row>
    <row r="420" spans="2:10">
      <c r="B420" s="531"/>
      <c r="C420" s="523" t="s">
        <v>1642</v>
      </c>
      <c r="D420" s="1156"/>
      <c r="E420" s="530"/>
      <c r="F420" s="591"/>
      <c r="G420" s="1227"/>
      <c r="H420" s="464"/>
      <c r="I420" s="455"/>
      <c r="J420" s="455"/>
    </row>
    <row r="421" spans="2:10">
      <c r="B421" s="531"/>
      <c r="C421" s="535"/>
      <c r="D421" s="1161"/>
      <c r="E421" s="530"/>
      <c r="F421" s="591"/>
      <c r="G421" s="1227"/>
      <c r="H421" s="464"/>
      <c r="I421" s="455"/>
      <c r="J421" s="455"/>
    </row>
    <row r="422" spans="2:10" ht="168">
      <c r="B422" s="542" t="s">
        <v>1357</v>
      </c>
      <c r="C422" s="592" t="s">
        <v>1643</v>
      </c>
      <c r="D422" s="1184"/>
      <c r="E422" s="1105"/>
      <c r="F422" s="593"/>
      <c r="G422" s="1228"/>
      <c r="H422" s="476"/>
      <c r="I422" s="455"/>
      <c r="J422" s="455"/>
    </row>
    <row r="423" spans="2:10">
      <c r="B423" s="539"/>
      <c r="C423" s="594" t="s">
        <v>1644</v>
      </c>
      <c r="D423" s="1185"/>
      <c r="E423" s="1106"/>
      <c r="F423" s="1131"/>
      <c r="G423" s="1229"/>
      <c r="H423" s="476"/>
      <c r="I423" s="455"/>
      <c r="J423" s="455"/>
    </row>
    <row r="424" spans="2:10" ht="72">
      <c r="B424" s="542"/>
      <c r="C424" s="549" t="s">
        <v>1645</v>
      </c>
      <c r="D424" s="1165"/>
      <c r="E424" s="1107"/>
      <c r="F424" s="593"/>
      <c r="G424" s="1228"/>
      <c r="H424" s="476"/>
      <c r="I424" s="455"/>
      <c r="J424" s="455"/>
    </row>
    <row r="425" spans="2:10" ht="24">
      <c r="B425" s="542"/>
      <c r="C425" s="596" t="s">
        <v>1646</v>
      </c>
      <c r="D425" s="1186"/>
      <c r="E425" s="1106"/>
      <c r="F425" s="593"/>
      <c r="G425" s="1228"/>
      <c r="H425" s="476"/>
      <c r="I425" s="455"/>
      <c r="J425" s="455"/>
    </row>
    <row r="426" spans="2:10">
      <c r="B426" s="539"/>
      <c r="C426" s="596" t="s">
        <v>1647</v>
      </c>
      <c r="D426" s="1186"/>
      <c r="E426" s="1106"/>
      <c r="F426" s="1131"/>
      <c r="G426" s="1229"/>
      <c r="H426" s="476"/>
      <c r="I426" s="455"/>
      <c r="J426" s="455"/>
    </row>
    <row r="427" spans="2:10" ht="180">
      <c r="B427" s="542"/>
      <c r="C427" s="597" t="s">
        <v>1648</v>
      </c>
      <c r="D427" s="1187"/>
      <c r="E427" s="1108"/>
      <c r="F427" s="593"/>
      <c r="G427" s="1228"/>
      <c r="H427" s="476"/>
      <c r="I427" s="455"/>
      <c r="J427" s="455"/>
    </row>
    <row r="428" spans="2:10" ht="24">
      <c r="B428" s="542"/>
      <c r="C428" s="598" t="s">
        <v>1649</v>
      </c>
      <c r="D428" s="1188"/>
      <c r="E428" s="1109"/>
      <c r="F428" s="593"/>
      <c r="G428" s="1228"/>
      <c r="H428" s="476"/>
      <c r="I428" s="455"/>
      <c r="J428" s="455"/>
    </row>
    <row r="429" spans="2:10">
      <c r="B429" s="539"/>
      <c r="C429" s="598" t="s">
        <v>1650</v>
      </c>
      <c r="D429" s="1188"/>
      <c r="E429" s="1109"/>
      <c r="F429" s="1131"/>
      <c r="G429" s="1229"/>
      <c r="H429" s="476"/>
      <c r="I429" s="455"/>
      <c r="J429" s="455"/>
    </row>
    <row r="430" spans="2:10" ht="132">
      <c r="B430" s="542"/>
      <c r="C430" s="549" t="s">
        <v>1651</v>
      </c>
      <c r="D430" s="1165"/>
      <c r="E430" s="1107"/>
      <c r="F430" s="593"/>
      <c r="G430" s="1228"/>
      <c r="H430" s="476"/>
      <c r="I430" s="455"/>
      <c r="J430" s="455"/>
    </row>
    <row r="431" spans="2:10" ht="24">
      <c r="B431" s="542"/>
      <c r="C431" s="599" t="s">
        <v>1652</v>
      </c>
      <c r="D431" s="1189"/>
      <c r="E431" s="600"/>
      <c r="F431" s="593"/>
      <c r="G431" s="1228"/>
      <c r="H431" s="476"/>
      <c r="I431" s="455"/>
      <c r="J431" s="455"/>
    </row>
    <row r="432" spans="2:10" ht="132">
      <c r="B432" s="539"/>
      <c r="C432" s="597" t="s">
        <v>1653</v>
      </c>
      <c r="D432" s="1187"/>
      <c r="E432" s="1108"/>
      <c r="F432" s="1131"/>
      <c r="G432" s="1229"/>
      <c r="H432" s="476"/>
      <c r="I432" s="455"/>
      <c r="J432" s="455"/>
    </row>
    <row r="433" spans="2:10">
      <c r="B433" s="542"/>
      <c r="C433" s="599" t="s">
        <v>1654</v>
      </c>
      <c r="D433" s="1189"/>
      <c r="E433" s="600" t="s">
        <v>21</v>
      </c>
      <c r="F433" s="593">
        <v>1</v>
      </c>
      <c r="G433" s="1228"/>
      <c r="H433" s="476"/>
      <c r="I433" s="455"/>
      <c r="J433" s="455"/>
    </row>
    <row r="434" spans="2:10" ht="47.25" customHeight="1">
      <c r="B434" s="539"/>
      <c r="C434" s="494" t="s">
        <v>1431</v>
      </c>
      <c r="D434" s="1144"/>
      <c r="E434" s="530"/>
      <c r="F434" s="553"/>
      <c r="G434" s="1230"/>
      <c r="H434" s="476"/>
      <c r="I434" s="455"/>
      <c r="J434" s="455"/>
    </row>
    <row r="435" spans="2:10">
      <c r="B435" s="539"/>
      <c r="C435" s="597"/>
      <c r="D435" s="1187"/>
      <c r="E435" s="597"/>
      <c r="F435" s="1131"/>
      <c r="G435" s="1229"/>
      <c r="H435" s="476"/>
      <c r="I435" s="455"/>
      <c r="J435" s="455"/>
    </row>
    <row r="436" spans="2:10" ht="24">
      <c r="B436" s="542" t="s">
        <v>1359</v>
      </c>
      <c r="C436" s="601" t="s">
        <v>1655</v>
      </c>
      <c r="D436" s="1190"/>
      <c r="E436" s="1110"/>
      <c r="F436" s="593"/>
      <c r="G436" s="1228"/>
      <c r="H436" s="476"/>
      <c r="I436" s="455"/>
      <c r="J436" s="455"/>
    </row>
    <row r="437" spans="2:10" ht="108">
      <c r="B437" s="542"/>
      <c r="C437" s="549" t="s">
        <v>1656</v>
      </c>
      <c r="D437" s="1165"/>
      <c r="E437" s="602" t="s">
        <v>11</v>
      </c>
      <c r="F437" s="593">
        <v>5</v>
      </c>
      <c r="G437" s="1228"/>
      <c r="H437" s="464">
        <f>SUM(F437*G437)</f>
        <v>0</v>
      </c>
      <c r="I437" s="455"/>
      <c r="J437" s="455"/>
    </row>
    <row r="438" spans="2:10" ht="37.5" customHeight="1">
      <c r="B438" s="539"/>
      <c r="C438" s="494" t="s">
        <v>1431</v>
      </c>
      <c r="D438" s="1144"/>
      <c r="E438" s="530"/>
      <c r="F438" s="553"/>
      <c r="G438" s="1230"/>
      <c r="H438" s="476"/>
      <c r="I438" s="455"/>
      <c r="J438" s="455"/>
    </row>
    <row r="439" spans="2:10">
      <c r="B439" s="542"/>
      <c r="C439" s="518"/>
      <c r="D439" s="1153"/>
      <c r="E439" s="544"/>
      <c r="F439" s="593"/>
      <c r="G439" s="1228"/>
      <c r="H439" s="476"/>
      <c r="I439" s="455"/>
      <c r="J439" s="455"/>
    </row>
    <row r="440" spans="2:10" ht="24">
      <c r="B440" s="542" t="s">
        <v>1361</v>
      </c>
      <c r="C440" s="601" t="s">
        <v>1657</v>
      </c>
      <c r="D440" s="1190"/>
      <c r="E440" s="1111"/>
      <c r="F440" s="593"/>
      <c r="G440" s="1228"/>
      <c r="H440" s="476"/>
      <c r="I440" s="455"/>
      <c r="J440" s="455"/>
    </row>
    <row r="441" spans="2:10" ht="84">
      <c r="B441" s="539"/>
      <c r="C441" s="549" t="s">
        <v>1658</v>
      </c>
      <c r="D441" s="1165"/>
      <c r="E441" s="602" t="s">
        <v>11</v>
      </c>
      <c r="F441" s="603">
        <v>3</v>
      </c>
      <c r="G441" s="1231"/>
      <c r="H441" s="464">
        <f>SUM(F441*G441)</f>
        <v>0</v>
      </c>
      <c r="I441" s="455"/>
      <c r="J441" s="455"/>
    </row>
    <row r="442" spans="2:10" ht="33.75" customHeight="1">
      <c r="B442" s="539"/>
      <c r="C442" s="494" t="s">
        <v>1431</v>
      </c>
      <c r="D442" s="1144"/>
      <c r="E442" s="530"/>
      <c r="F442" s="553"/>
      <c r="G442" s="1230"/>
      <c r="H442" s="476"/>
      <c r="I442" s="455"/>
      <c r="J442" s="455"/>
    </row>
    <row r="443" spans="2:10">
      <c r="B443" s="542"/>
      <c r="C443" s="549"/>
      <c r="D443" s="1165"/>
      <c r="E443" s="544"/>
      <c r="F443" s="593"/>
      <c r="G443" s="1228"/>
      <c r="H443" s="476"/>
      <c r="I443" s="455"/>
      <c r="J443" s="455"/>
    </row>
    <row r="444" spans="2:10" ht="24">
      <c r="B444" s="539" t="s">
        <v>1363</v>
      </c>
      <c r="C444" s="604" t="s">
        <v>1659</v>
      </c>
      <c r="D444" s="1191"/>
      <c r="E444" s="1112"/>
      <c r="F444" s="1131"/>
      <c r="G444" s="1229"/>
      <c r="H444" s="476"/>
      <c r="I444" s="455"/>
      <c r="J444" s="455"/>
    </row>
    <row r="445" spans="2:10" ht="66" customHeight="1">
      <c r="B445" s="542"/>
      <c r="C445" s="605" t="s">
        <v>1660</v>
      </c>
      <c r="D445" s="1192"/>
      <c r="E445" s="1113"/>
      <c r="F445" s="1113"/>
      <c r="G445" s="1232"/>
      <c r="H445" s="455"/>
      <c r="I445" s="455"/>
      <c r="J445" s="455"/>
    </row>
    <row r="446" spans="2:10" ht="54" customHeight="1">
      <c r="B446" s="542"/>
      <c r="C446" s="605" t="s">
        <v>1661</v>
      </c>
      <c r="D446" s="1192"/>
      <c r="E446" s="602" t="s">
        <v>11</v>
      </c>
      <c r="F446" s="603">
        <v>1</v>
      </c>
      <c r="G446" s="1231"/>
      <c r="H446" s="464">
        <f>SUM(F446*G446)</f>
        <v>0</v>
      </c>
      <c r="I446" s="455"/>
      <c r="J446" s="455"/>
    </row>
    <row r="447" spans="2:10" ht="32.25" customHeight="1">
      <c r="B447" s="539"/>
      <c r="C447" s="494" t="s">
        <v>1431</v>
      </c>
      <c r="D447" s="1144"/>
      <c r="E447" s="530"/>
      <c r="F447" s="553"/>
      <c r="G447" s="1230"/>
      <c r="H447" s="476"/>
      <c r="I447" s="455"/>
      <c r="J447" s="455"/>
    </row>
    <row r="448" spans="2:10">
      <c r="B448" s="539"/>
      <c r="C448" s="507"/>
      <c r="D448" s="1144"/>
      <c r="E448" s="473"/>
      <c r="F448" s="1131"/>
      <c r="G448" s="1229"/>
      <c r="H448" s="476"/>
      <c r="I448" s="455"/>
      <c r="J448" s="455"/>
    </row>
    <row r="449" spans="2:10" ht="24">
      <c r="B449" s="542" t="s">
        <v>1366</v>
      </c>
      <c r="C449" s="601" t="s">
        <v>1662</v>
      </c>
      <c r="D449" s="1190"/>
      <c r="E449" s="1114"/>
      <c r="F449" s="593"/>
      <c r="G449" s="1228"/>
      <c r="H449" s="476"/>
      <c r="I449" s="455"/>
      <c r="J449" s="455"/>
    </row>
    <row r="450" spans="2:10" ht="48">
      <c r="B450" s="542"/>
      <c r="C450" s="549" t="s">
        <v>1663</v>
      </c>
      <c r="D450" s="1165"/>
      <c r="E450" s="602" t="s">
        <v>21</v>
      </c>
      <c r="F450" s="603">
        <v>1</v>
      </c>
      <c r="G450" s="1231"/>
      <c r="H450" s="464">
        <f>SUM(F450*G450)</f>
        <v>0</v>
      </c>
      <c r="I450" s="455"/>
      <c r="J450" s="455"/>
    </row>
    <row r="451" spans="2:10" ht="33.75" customHeight="1">
      <c r="B451" s="539"/>
      <c r="C451" s="494" t="s">
        <v>1431</v>
      </c>
      <c r="D451" s="1144"/>
      <c r="E451" s="530"/>
      <c r="F451" s="553"/>
      <c r="G451" s="1230"/>
      <c r="H451" s="476"/>
      <c r="I451" s="455"/>
      <c r="J451" s="455"/>
    </row>
    <row r="452" spans="2:10">
      <c r="B452" s="542"/>
      <c r="C452" s="518"/>
      <c r="D452" s="1153"/>
      <c r="E452" s="544"/>
      <c r="F452" s="593"/>
      <c r="G452" s="1228"/>
      <c r="H452" s="476"/>
      <c r="I452" s="455"/>
      <c r="J452" s="455"/>
    </row>
    <row r="453" spans="2:10" ht="24">
      <c r="B453" s="542" t="s">
        <v>1386</v>
      </c>
      <c r="C453" s="592" t="s">
        <v>1664</v>
      </c>
      <c r="D453" s="1184"/>
      <c r="E453" s="1110"/>
      <c r="F453" s="593"/>
      <c r="G453" s="1228"/>
      <c r="H453" s="476"/>
      <c r="I453" s="455"/>
      <c r="J453" s="455"/>
    </row>
    <row r="454" spans="2:10" ht="48">
      <c r="B454" s="539"/>
      <c r="C454" s="597" t="s">
        <v>1665</v>
      </c>
      <c r="D454" s="1187"/>
      <c r="E454" s="602" t="s">
        <v>11</v>
      </c>
      <c r="F454" s="603">
        <v>7</v>
      </c>
      <c r="G454" s="1231"/>
      <c r="H454" s="464">
        <f>SUM(F454*G454)</f>
        <v>0</v>
      </c>
      <c r="I454" s="455"/>
      <c r="J454" s="455"/>
    </row>
    <row r="455" spans="2:10" ht="36.75" customHeight="1">
      <c r="B455" s="539"/>
      <c r="C455" s="494" t="s">
        <v>1431</v>
      </c>
      <c r="D455" s="1144"/>
      <c r="E455" s="530"/>
      <c r="F455" s="553"/>
      <c r="G455" s="1230"/>
      <c r="H455" s="476"/>
      <c r="I455" s="455"/>
      <c r="J455" s="455"/>
    </row>
    <row r="456" spans="2:10">
      <c r="B456" s="542"/>
      <c r="C456" s="549"/>
      <c r="D456" s="1165"/>
      <c r="E456" s="544"/>
      <c r="F456" s="593"/>
      <c r="G456" s="1228"/>
      <c r="H456" s="476"/>
      <c r="I456" s="455"/>
      <c r="J456" s="455"/>
    </row>
    <row r="457" spans="2:10" ht="24">
      <c r="B457" s="539" t="s">
        <v>1388</v>
      </c>
      <c r="C457" s="607" t="s">
        <v>1666</v>
      </c>
      <c r="D457" s="1193"/>
      <c r="E457" s="1110"/>
      <c r="F457" s="1131"/>
      <c r="G457" s="1229"/>
      <c r="H457" s="476"/>
      <c r="I457" s="455"/>
      <c r="J457" s="455"/>
    </row>
    <row r="458" spans="2:10" ht="242.25" customHeight="1">
      <c r="B458" s="539"/>
      <c r="C458" s="518" t="s">
        <v>1667</v>
      </c>
      <c r="D458" s="1153"/>
      <c r="E458" s="602" t="s">
        <v>21</v>
      </c>
      <c r="F458" s="603">
        <v>1</v>
      </c>
      <c r="G458" s="1231"/>
      <c r="H458" s="464">
        <f>SUM(F458*G458)</f>
        <v>0</v>
      </c>
      <c r="I458" s="455"/>
      <c r="J458" s="455"/>
    </row>
    <row r="459" spans="2:10" ht="33.75" customHeight="1">
      <c r="B459" s="539"/>
      <c r="C459" s="494" t="s">
        <v>1431</v>
      </c>
      <c r="D459" s="1144"/>
      <c r="E459" s="530"/>
      <c r="F459" s="553"/>
      <c r="G459" s="1230"/>
      <c r="H459" s="476"/>
      <c r="I459" s="455"/>
      <c r="J459" s="455"/>
    </row>
    <row r="460" spans="2:10">
      <c r="B460" s="539"/>
      <c r="C460" s="608"/>
      <c r="D460" s="1194"/>
      <c r="E460" s="609"/>
      <c r="F460" s="610"/>
      <c r="G460" s="1233"/>
      <c r="H460" s="1129"/>
      <c r="I460" s="455"/>
      <c r="J460" s="455"/>
    </row>
    <row r="461" spans="2:10">
      <c r="B461" s="531"/>
      <c r="C461" s="523" t="s">
        <v>1668</v>
      </c>
      <c r="D461" s="1156"/>
      <c r="E461" s="530"/>
      <c r="F461" s="591"/>
      <c r="G461" s="1227"/>
      <c r="H461" s="464"/>
      <c r="I461" s="455"/>
      <c r="J461" s="455"/>
    </row>
    <row r="462" spans="2:10">
      <c r="B462" s="531"/>
      <c r="C462" s="535"/>
      <c r="D462" s="1161"/>
      <c r="E462" s="530"/>
      <c r="F462" s="591"/>
      <c r="G462" s="1227"/>
      <c r="H462" s="464"/>
      <c r="I462" s="455"/>
      <c r="J462" s="455"/>
    </row>
    <row r="463" spans="2:10" ht="24">
      <c r="B463" s="542" t="s">
        <v>1392</v>
      </c>
      <c r="C463" s="611" t="s">
        <v>1669</v>
      </c>
      <c r="D463" s="1195"/>
      <c r="E463" s="1115"/>
      <c r="F463" s="593"/>
      <c r="G463" s="1228"/>
      <c r="H463" s="476"/>
      <c r="I463" s="455"/>
      <c r="J463" s="455"/>
    </row>
    <row r="464" spans="2:10" ht="96">
      <c r="B464" s="539"/>
      <c r="C464" s="549" t="s">
        <v>1670</v>
      </c>
      <c r="D464" s="1165"/>
      <c r="E464" s="602" t="s">
        <v>11</v>
      </c>
      <c r="F464" s="603">
        <v>1</v>
      </c>
      <c r="G464" s="1231"/>
      <c r="H464" s="464">
        <f>SUM(F464*G464)</f>
        <v>0</v>
      </c>
      <c r="I464" s="455"/>
      <c r="J464" s="455"/>
    </row>
    <row r="465" spans="2:10" ht="42" customHeight="1">
      <c r="B465" s="539"/>
      <c r="C465" s="494" t="s">
        <v>1431</v>
      </c>
      <c r="D465" s="1144"/>
      <c r="E465" s="530"/>
      <c r="F465" s="553"/>
      <c r="G465" s="1230"/>
      <c r="H465" s="476"/>
      <c r="I465" s="455"/>
      <c r="J465" s="455"/>
    </row>
    <row r="466" spans="2:10">
      <c r="B466" s="542"/>
      <c r="C466" s="549"/>
      <c r="D466" s="1165"/>
      <c r="E466" s="544"/>
      <c r="F466" s="593"/>
      <c r="G466" s="1228"/>
      <c r="H466" s="476"/>
      <c r="I466" s="455"/>
      <c r="J466" s="455"/>
    </row>
    <row r="467" spans="2:10" ht="36">
      <c r="B467" s="539" t="s">
        <v>1396</v>
      </c>
      <c r="C467" s="611" t="s">
        <v>1671</v>
      </c>
      <c r="D467" s="1195"/>
      <c r="E467" s="1116"/>
      <c r="F467" s="1131"/>
      <c r="G467" s="1229"/>
      <c r="H467" s="476"/>
      <c r="I467" s="455"/>
      <c r="J467" s="455"/>
    </row>
    <row r="468" spans="2:10" ht="60">
      <c r="B468" s="542"/>
      <c r="C468" s="549" t="s">
        <v>1672</v>
      </c>
      <c r="D468" s="1165"/>
      <c r="E468" s="602" t="s">
        <v>11</v>
      </c>
      <c r="F468" s="603">
        <v>1</v>
      </c>
      <c r="G468" s="1231"/>
      <c r="H468" s="464">
        <f>SUM(F468*G468)</f>
        <v>0</v>
      </c>
      <c r="I468" s="455"/>
      <c r="J468" s="455"/>
    </row>
    <row r="469" spans="2:10" ht="36" customHeight="1">
      <c r="B469" s="539"/>
      <c r="C469" s="494" t="s">
        <v>1431</v>
      </c>
      <c r="D469" s="1144"/>
      <c r="E469" s="530"/>
      <c r="F469" s="553"/>
      <c r="G469" s="1230"/>
      <c r="H469" s="476"/>
      <c r="I469" s="455"/>
      <c r="J469" s="455"/>
    </row>
    <row r="470" spans="2:10">
      <c r="B470" s="539"/>
      <c r="C470" s="507"/>
      <c r="D470" s="1144"/>
      <c r="E470" s="473"/>
      <c r="F470" s="1131"/>
      <c r="G470" s="1229"/>
      <c r="H470" s="476"/>
      <c r="I470" s="455"/>
      <c r="J470" s="455"/>
    </row>
    <row r="471" spans="2:10" ht="24">
      <c r="B471" s="542" t="s">
        <v>1521</v>
      </c>
      <c r="C471" s="611" t="s">
        <v>1673</v>
      </c>
      <c r="D471" s="1195"/>
      <c r="E471" s="1115"/>
      <c r="F471" s="593"/>
      <c r="G471" s="1228"/>
      <c r="H471" s="476"/>
      <c r="I471" s="455"/>
      <c r="J471" s="455"/>
    </row>
    <row r="472" spans="2:10" ht="60">
      <c r="B472" s="542"/>
      <c r="C472" s="549" t="s">
        <v>1674</v>
      </c>
      <c r="D472" s="1165"/>
      <c r="E472" s="602" t="s">
        <v>11</v>
      </c>
      <c r="F472" s="603">
        <v>1</v>
      </c>
      <c r="G472" s="1231"/>
      <c r="H472" s="464">
        <f>SUM(F472*G472)</f>
        <v>0</v>
      </c>
      <c r="I472" s="455"/>
      <c r="J472" s="455"/>
    </row>
    <row r="473" spans="2:10" ht="37.5" customHeight="1">
      <c r="B473" s="539"/>
      <c r="C473" s="494" t="s">
        <v>1431</v>
      </c>
      <c r="D473" s="1144"/>
      <c r="E473" s="530"/>
      <c r="F473" s="553"/>
      <c r="G473" s="1230"/>
      <c r="H473" s="476"/>
      <c r="I473" s="455"/>
      <c r="J473" s="455"/>
    </row>
    <row r="474" spans="2:10">
      <c r="B474" s="542"/>
      <c r="C474" s="518"/>
      <c r="D474" s="1153"/>
      <c r="E474" s="544"/>
      <c r="F474" s="593"/>
      <c r="G474" s="1228"/>
      <c r="H474" s="476"/>
      <c r="I474" s="455"/>
      <c r="J474" s="455"/>
    </row>
    <row r="475" spans="2:10">
      <c r="B475" s="542"/>
      <c r="C475" s="592" t="s">
        <v>1675</v>
      </c>
      <c r="D475" s="1184"/>
      <c r="E475" s="544"/>
      <c r="F475" s="593"/>
      <c r="G475" s="1228"/>
      <c r="H475" s="476"/>
      <c r="I475" s="455"/>
      <c r="J475" s="455"/>
    </row>
    <row r="476" spans="2:10">
      <c r="B476" s="542"/>
      <c r="C476" s="592"/>
      <c r="D476" s="1184"/>
      <c r="E476" s="544"/>
      <c r="F476" s="593"/>
      <c r="G476" s="1228"/>
      <c r="H476" s="476"/>
      <c r="I476" s="455"/>
      <c r="J476" s="455"/>
    </row>
    <row r="477" spans="2:10" ht="24">
      <c r="B477" s="542" t="s">
        <v>1523</v>
      </c>
      <c r="C477" s="607" t="s">
        <v>1676</v>
      </c>
      <c r="D477" s="1193"/>
      <c r="E477" s="1105"/>
      <c r="F477" s="593"/>
      <c r="G477" s="1228"/>
      <c r="H477" s="476"/>
      <c r="I477" s="455"/>
      <c r="J477" s="455"/>
    </row>
    <row r="478" spans="2:10">
      <c r="B478" s="539"/>
      <c r="C478" s="594" t="s">
        <v>1677</v>
      </c>
      <c r="D478" s="1185"/>
      <c r="E478" s="1106"/>
      <c r="F478" s="1131"/>
      <c r="G478" s="1229"/>
      <c r="H478" s="476"/>
      <c r="I478" s="455"/>
      <c r="J478" s="455"/>
    </row>
    <row r="479" spans="2:10">
      <c r="B479" s="542"/>
      <c r="C479" s="599" t="s">
        <v>1678</v>
      </c>
      <c r="D479" s="1189"/>
      <c r="E479" s="1106"/>
      <c r="F479" s="593"/>
      <c r="G479" s="1228"/>
      <c r="H479" s="476"/>
      <c r="I479" s="455"/>
      <c r="J479" s="455"/>
    </row>
    <row r="480" spans="2:10" ht="108">
      <c r="B480" s="542"/>
      <c r="C480" s="549" t="s">
        <v>1679</v>
      </c>
      <c r="D480" s="1165"/>
      <c r="E480" s="1107"/>
      <c r="F480" s="593"/>
      <c r="G480" s="1228"/>
      <c r="H480" s="476"/>
      <c r="I480" s="455"/>
      <c r="J480" s="455"/>
    </row>
    <row r="481" spans="2:10">
      <c r="B481" s="539"/>
      <c r="C481" s="599" t="s">
        <v>1644</v>
      </c>
      <c r="D481" s="1189"/>
      <c r="E481" s="1106"/>
      <c r="F481" s="1131"/>
      <c r="G481" s="1229"/>
      <c r="H481" s="476"/>
      <c r="I481" s="455"/>
      <c r="J481" s="455"/>
    </row>
    <row r="482" spans="2:10" ht="72">
      <c r="B482" s="542"/>
      <c r="C482" s="549" t="s">
        <v>1645</v>
      </c>
      <c r="D482" s="1165"/>
      <c r="E482" s="1107"/>
      <c r="F482" s="593"/>
      <c r="G482" s="1228"/>
      <c r="H482" s="476"/>
      <c r="I482" s="455"/>
      <c r="J482" s="455"/>
    </row>
    <row r="483" spans="2:10" ht="24">
      <c r="B483" s="542"/>
      <c r="C483" s="596" t="s">
        <v>1646</v>
      </c>
      <c r="D483" s="1186"/>
      <c r="E483" s="1106"/>
      <c r="F483" s="593"/>
      <c r="G483" s="1228"/>
      <c r="H483" s="476"/>
      <c r="I483" s="455"/>
      <c r="J483" s="455"/>
    </row>
    <row r="484" spans="2:10">
      <c r="B484" s="539"/>
      <c r="C484" s="596" t="s">
        <v>1647</v>
      </c>
      <c r="D484" s="1186"/>
      <c r="E484" s="1106"/>
      <c r="F484" s="1131"/>
      <c r="G484" s="1229"/>
      <c r="H484" s="476"/>
      <c r="I484" s="455"/>
      <c r="J484" s="455"/>
    </row>
    <row r="485" spans="2:10" ht="180">
      <c r="B485" s="477"/>
      <c r="C485" s="597" t="s">
        <v>1648</v>
      </c>
      <c r="D485" s="1187"/>
      <c r="E485" s="1108"/>
      <c r="F485" s="612"/>
      <c r="G485" s="1234"/>
      <c r="H485" s="505"/>
      <c r="I485" s="455"/>
      <c r="J485" s="455"/>
    </row>
    <row r="486" spans="2:10" ht="24">
      <c r="B486" s="542"/>
      <c r="C486" s="598" t="s">
        <v>1649</v>
      </c>
      <c r="D486" s="1188"/>
      <c r="E486" s="1109"/>
      <c r="F486" s="593"/>
      <c r="G486" s="1228"/>
      <c r="H486" s="476"/>
      <c r="I486" s="455"/>
      <c r="J486" s="455"/>
    </row>
    <row r="487" spans="2:10">
      <c r="B487" s="539"/>
      <c r="C487" s="613" t="s">
        <v>1650</v>
      </c>
      <c r="D487" s="1196"/>
      <c r="E487" s="1109"/>
      <c r="F487" s="1131"/>
      <c r="G487" s="1229"/>
      <c r="H487" s="476"/>
      <c r="I487" s="455"/>
      <c r="J487" s="455"/>
    </row>
    <row r="488" spans="2:10" ht="132">
      <c r="B488" s="477"/>
      <c r="C488" s="549" t="s">
        <v>1651</v>
      </c>
      <c r="D488" s="1165"/>
      <c r="E488" s="1107"/>
      <c r="F488" s="612"/>
      <c r="G488" s="1234"/>
      <c r="H488" s="505"/>
      <c r="I488" s="455"/>
      <c r="J488" s="455"/>
    </row>
    <row r="489" spans="2:10">
      <c r="B489" s="542"/>
      <c r="C489" s="599" t="s">
        <v>1680</v>
      </c>
      <c r="D489" s="1189"/>
      <c r="E489" s="602" t="s">
        <v>21</v>
      </c>
      <c r="F489" s="603">
        <v>1</v>
      </c>
      <c r="G489" s="1231"/>
      <c r="H489" s="464">
        <f>SUM(F489*G489)</f>
        <v>0</v>
      </c>
      <c r="I489" s="455"/>
      <c r="J489" s="455"/>
    </row>
    <row r="490" spans="2:10" ht="39.75" customHeight="1">
      <c r="B490" s="539"/>
      <c r="C490" s="494" t="s">
        <v>1431</v>
      </c>
      <c r="D490" s="1144"/>
      <c r="E490" s="530"/>
      <c r="F490" s="553"/>
      <c r="G490" s="1230"/>
      <c r="H490" s="476"/>
      <c r="I490" s="455"/>
      <c r="J490" s="455"/>
    </row>
    <row r="491" spans="2:10">
      <c r="B491" s="477"/>
      <c r="C491" s="533"/>
      <c r="D491" s="1160"/>
      <c r="E491" s="1117"/>
      <c r="F491" s="612"/>
      <c r="G491" s="1234"/>
      <c r="H491" s="505"/>
      <c r="I491" s="455"/>
      <c r="J491" s="455"/>
    </row>
    <row r="492" spans="2:10">
      <c r="B492" s="542" t="s">
        <v>1525</v>
      </c>
      <c r="C492" s="596" t="s">
        <v>1681</v>
      </c>
      <c r="D492" s="1186"/>
      <c r="E492" s="1112"/>
      <c r="F492" s="593"/>
      <c r="G492" s="1228"/>
      <c r="H492" s="476"/>
      <c r="I492" s="455"/>
      <c r="J492" s="455"/>
    </row>
    <row r="493" spans="2:10" ht="72">
      <c r="B493" s="539"/>
      <c r="C493" s="597" t="s">
        <v>1682</v>
      </c>
      <c r="D493" s="1187"/>
      <c r="E493" s="602" t="s">
        <v>11</v>
      </c>
      <c r="F493" s="603">
        <v>11</v>
      </c>
      <c r="G493" s="1231"/>
      <c r="H493" s="464">
        <f>SUM(F493*G493)</f>
        <v>0</v>
      </c>
      <c r="I493" s="455"/>
      <c r="J493" s="455"/>
    </row>
    <row r="494" spans="2:10" ht="36.75" customHeight="1">
      <c r="B494" s="539"/>
      <c r="C494" s="494" t="s">
        <v>1431</v>
      </c>
      <c r="D494" s="1144"/>
      <c r="E494" s="530"/>
      <c r="F494" s="553"/>
      <c r="G494" s="1230"/>
      <c r="H494" s="476"/>
      <c r="I494" s="455"/>
      <c r="J494" s="455"/>
    </row>
    <row r="495" spans="2:10">
      <c r="B495" s="542"/>
      <c r="C495" s="549"/>
      <c r="D495" s="1165"/>
      <c r="E495" s="544"/>
      <c r="F495" s="593"/>
      <c r="G495" s="1228"/>
      <c r="H495" s="476"/>
      <c r="I495" s="455"/>
      <c r="J495" s="455"/>
    </row>
    <row r="496" spans="2:10" ht="24">
      <c r="B496" s="539" t="s">
        <v>1527</v>
      </c>
      <c r="C496" s="592" t="s">
        <v>1664</v>
      </c>
      <c r="D496" s="1184"/>
      <c r="E496" s="1106"/>
      <c r="F496" s="1131"/>
      <c r="G496" s="1229"/>
      <c r="H496" s="476"/>
      <c r="I496" s="455"/>
      <c r="J496" s="455"/>
    </row>
    <row r="497" spans="2:10" ht="48">
      <c r="B497" s="477"/>
      <c r="C497" s="597" t="s">
        <v>1665</v>
      </c>
      <c r="D497" s="1187"/>
      <c r="E497" s="602" t="s">
        <v>11</v>
      </c>
      <c r="F497" s="603">
        <v>7</v>
      </c>
      <c r="G497" s="1231"/>
      <c r="H497" s="464">
        <f>SUM(F497*G497)</f>
        <v>0</v>
      </c>
      <c r="I497" s="455"/>
      <c r="J497" s="455"/>
    </row>
    <row r="498" spans="2:10" ht="33" customHeight="1">
      <c r="B498" s="539"/>
      <c r="C498" s="494" t="s">
        <v>1431</v>
      </c>
      <c r="D498" s="1144"/>
      <c r="E498" s="530"/>
      <c r="F498" s="553"/>
      <c r="G498" s="1230"/>
      <c r="H498" s="476"/>
      <c r="I498" s="455"/>
      <c r="J498" s="455"/>
    </row>
    <row r="499" spans="2:10">
      <c r="B499" s="539"/>
      <c r="C499" s="507"/>
      <c r="D499" s="1144"/>
      <c r="E499" s="473"/>
      <c r="F499" s="1131"/>
      <c r="G499" s="1229"/>
      <c r="H499" s="476"/>
      <c r="I499" s="455"/>
      <c r="J499" s="455"/>
    </row>
    <row r="500" spans="2:10" ht="24">
      <c r="B500" s="477" t="s">
        <v>1529</v>
      </c>
      <c r="C500" s="614" t="s">
        <v>1666</v>
      </c>
      <c r="D500" s="1197"/>
      <c r="E500" s="1118"/>
      <c r="F500" s="612"/>
      <c r="G500" s="1234"/>
      <c r="H500" s="505"/>
      <c r="I500" s="455"/>
      <c r="J500" s="455"/>
    </row>
    <row r="501" spans="2:10" ht="257.25" customHeight="1">
      <c r="B501" s="542"/>
      <c r="C501" s="518" t="s">
        <v>1667</v>
      </c>
      <c r="D501" s="1153"/>
      <c r="E501" s="602" t="s">
        <v>21</v>
      </c>
      <c r="F501" s="603">
        <v>1</v>
      </c>
      <c r="G501" s="1231"/>
      <c r="H501" s="464">
        <f>SUM(F501*G501)</f>
        <v>0</v>
      </c>
      <c r="I501" s="455"/>
      <c r="J501" s="455"/>
    </row>
    <row r="502" spans="2:10" ht="32.25" customHeight="1">
      <c r="B502" s="539"/>
      <c r="C502" s="494" t="s">
        <v>1431</v>
      </c>
      <c r="D502" s="1144"/>
      <c r="E502" s="530"/>
      <c r="F502" s="553"/>
      <c r="G502" s="1230"/>
      <c r="H502" s="476"/>
      <c r="I502" s="455"/>
      <c r="J502" s="455"/>
    </row>
    <row r="503" spans="2:10">
      <c r="B503" s="477"/>
      <c r="C503" s="533"/>
      <c r="D503" s="1160"/>
      <c r="E503" s="1117"/>
      <c r="F503" s="612"/>
      <c r="G503" s="1234"/>
      <c r="H503" s="505"/>
      <c r="I503" s="455"/>
      <c r="J503" s="455"/>
    </row>
    <row r="504" spans="2:10">
      <c r="B504" s="477"/>
      <c r="C504" s="532" t="s">
        <v>1683</v>
      </c>
      <c r="D504" s="1159"/>
      <c r="E504" s="1117"/>
      <c r="F504" s="612"/>
      <c r="G504" s="1234"/>
      <c r="H504" s="505"/>
      <c r="I504" s="455"/>
      <c r="J504" s="455"/>
    </row>
    <row r="505" spans="2:10">
      <c r="B505" s="542"/>
      <c r="C505" s="549"/>
      <c r="D505" s="1165"/>
      <c r="E505" s="544"/>
      <c r="F505" s="593"/>
      <c r="G505" s="1228"/>
      <c r="H505" s="476"/>
      <c r="I505" s="455"/>
      <c r="J505" s="455"/>
    </row>
    <row r="506" spans="2:10">
      <c r="B506" s="542" t="s">
        <v>1531</v>
      </c>
      <c r="C506" s="549" t="s">
        <v>1684</v>
      </c>
      <c r="D506" s="1165"/>
      <c r="E506" s="544"/>
      <c r="F506" s="593"/>
      <c r="G506" s="1228"/>
      <c r="H506" s="476"/>
      <c r="I506" s="455"/>
      <c r="J506" s="455"/>
    </row>
    <row r="507" spans="2:10">
      <c r="B507" s="542"/>
      <c r="C507" s="549" t="s">
        <v>1685</v>
      </c>
      <c r="D507" s="1165"/>
      <c r="E507" s="602" t="s">
        <v>514</v>
      </c>
      <c r="F507" s="603">
        <v>320</v>
      </c>
      <c r="G507" s="1231"/>
      <c r="H507" s="464">
        <f t="shared" ref="H507:H508" si="11">SUM(F507*G507)</f>
        <v>0</v>
      </c>
      <c r="I507" s="455"/>
      <c r="J507" s="455"/>
    </row>
    <row r="508" spans="2:10">
      <c r="B508" s="542"/>
      <c r="C508" s="549" t="s">
        <v>1686</v>
      </c>
      <c r="D508" s="1165"/>
      <c r="E508" s="602" t="s">
        <v>514</v>
      </c>
      <c r="F508" s="603">
        <v>280</v>
      </c>
      <c r="G508" s="1231"/>
      <c r="H508" s="464">
        <f t="shared" si="11"/>
        <v>0</v>
      </c>
      <c r="I508" s="455"/>
      <c r="J508" s="455"/>
    </row>
    <row r="509" spans="2:10">
      <c r="B509" s="542"/>
      <c r="C509" s="549"/>
      <c r="D509" s="1165"/>
      <c r="E509" s="544"/>
      <c r="F509" s="593"/>
      <c r="G509" s="1228"/>
      <c r="H509" s="476"/>
      <c r="I509" s="455"/>
      <c r="J509" s="455"/>
    </row>
    <row r="510" spans="2:10">
      <c r="B510" s="542"/>
      <c r="C510" s="549"/>
      <c r="D510" s="1165"/>
      <c r="E510" s="544"/>
      <c r="F510" s="593"/>
      <c r="G510" s="1228"/>
      <c r="H510" s="476"/>
      <c r="I510" s="455"/>
      <c r="J510" s="455"/>
    </row>
    <row r="511" spans="2:10">
      <c r="B511" s="539" t="s">
        <v>1533</v>
      </c>
      <c r="C511" s="604" t="s">
        <v>1687</v>
      </c>
      <c r="D511" s="1191"/>
      <c r="E511" s="1119"/>
      <c r="F511" s="1131"/>
      <c r="G511" s="1229"/>
      <c r="H511" s="476"/>
      <c r="I511" s="455"/>
      <c r="J511" s="455"/>
    </row>
    <row r="512" spans="2:10" ht="36">
      <c r="B512" s="477"/>
      <c r="C512" s="597" t="s">
        <v>1688</v>
      </c>
      <c r="D512" s="1187"/>
      <c r="E512" s="602" t="s">
        <v>21</v>
      </c>
      <c r="F512" s="603">
        <v>1</v>
      </c>
      <c r="G512" s="1231"/>
      <c r="H512" s="464">
        <f>SUM(F512*G512)</f>
        <v>0</v>
      </c>
      <c r="I512" s="455"/>
      <c r="J512" s="455"/>
    </row>
    <row r="513" spans="2:10">
      <c r="B513" s="542"/>
      <c r="C513" s="549"/>
      <c r="D513" s="1165"/>
      <c r="E513" s="544"/>
      <c r="F513" s="593"/>
      <c r="G513" s="1228"/>
      <c r="H513" s="476"/>
      <c r="I513" s="455"/>
      <c r="J513" s="455"/>
    </row>
    <row r="514" spans="2:10">
      <c r="B514" s="539" t="s">
        <v>1538</v>
      </c>
      <c r="C514" s="604" t="s">
        <v>1689</v>
      </c>
      <c r="D514" s="1191"/>
      <c r="E514" s="1119"/>
      <c r="F514" s="1131"/>
      <c r="G514" s="1229"/>
      <c r="H514" s="476"/>
      <c r="I514" s="455"/>
      <c r="J514" s="455"/>
    </row>
    <row r="515" spans="2:10" ht="48">
      <c r="B515" s="477"/>
      <c r="C515" s="597" t="s">
        <v>1690</v>
      </c>
      <c r="D515" s="1187"/>
      <c r="E515" s="602" t="s">
        <v>21</v>
      </c>
      <c r="F515" s="603">
        <v>1</v>
      </c>
      <c r="G515" s="1231"/>
      <c r="H515" s="464">
        <f>SUM(F515*G515)</f>
        <v>0</v>
      </c>
      <c r="I515" s="455"/>
      <c r="J515" s="455"/>
    </row>
    <row r="516" spans="2:10">
      <c r="B516" s="558"/>
      <c r="C516" s="590"/>
      <c r="D516" s="1183"/>
      <c r="E516" s="624"/>
      <c r="F516" s="475"/>
      <c r="G516" s="1208"/>
      <c r="H516" s="464"/>
      <c r="I516" s="455"/>
      <c r="J516" s="455"/>
    </row>
    <row r="517" spans="2:10">
      <c r="B517" s="555"/>
      <c r="C517" s="507"/>
      <c r="D517" s="1144"/>
      <c r="E517" s="624"/>
      <c r="F517" s="475"/>
      <c r="G517" s="1208"/>
      <c r="H517" s="464"/>
      <c r="I517" s="455"/>
      <c r="J517" s="455"/>
    </row>
    <row r="518" spans="2:10">
      <c r="B518" s="455"/>
      <c r="C518" s="615"/>
      <c r="D518" s="1198"/>
      <c r="E518" s="1120"/>
      <c r="F518" s="529"/>
      <c r="G518" s="1209"/>
      <c r="H518" s="1137"/>
      <c r="I518" s="455"/>
      <c r="J518" s="455"/>
    </row>
    <row r="519" spans="2:10">
      <c r="B519" s="555" t="s">
        <v>1640</v>
      </c>
      <c r="C519" s="616" t="s">
        <v>1691</v>
      </c>
      <c r="D519" s="1199"/>
      <c r="E519" s="1121"/>
      <c r="F519" s="617"/>
      <c r="G519" s="1235"/>
      <c r="H519" s="618">
        <f>SUM(H422:I518)</f>
        <v>0</v>
      </c>
      <c r="I519" s="455"/>
      <c r="J519" s="455"/>
    </row>
    <row r="520" spans="2:10">
      <c r="B520" s="619"/>
      <c r="C520" s="620"/>
      <c r="D520" s="1200"/>
      <c r="E520" s="1104"/>
      <c r="F520" s="587"/>
      <c r="G520" s="1210"/>
      <c r="H520" s="505"/>
      <c r="I520" s="455"/>
      <c r="J520" s="455"/>
    </row>
    <row r="521" spans="2:10">
      <c r="B521" s="619" t="s">
        <v>1692</v>
      </c>
      <c r="C521" s="620" t="s">
        <v>1693</v>
      </c>
      <c r="D521" s="1200"/>
      <c r="E521" s="1104"/>
      <c r="F521" s="587"/>
      <c r="G521" s="1210"/>
      <c r="H521" s="505"/>
      <c r="I521" s="455"/>
      <c r="J521" s="455"/>
    </row>
    <row r="522" spans="2:10">
      <c r="B522" s="619"/>
      <c r="C522" s="621"/>
      <c r="D522" s="1201"/>
      <c r="E522" s="1104"/>
      <c r="F522" s="587"/>
      <c r="G522" s="1210"/>
      <c r="H522" s="505"/>
      <c r="I522" s="455"/>
      <c r="J522" s="455"/>
    </row>
    <row r="523" spans="2:10" ht="44.25" customHeight="1">
      <c r="B523" s="555" t="s">
        <v>1596</v>
      </c>
      <c r="C523" s="512" t="s">
        <v>1694</v>
      </c>
      <c r="D523" s="1152"/>
      <c r="E523" s="487" t="s">
        <v>514</v>
      </c>
      <c r="F523" s="475">
        <v>210</v>
      </c>
      <c r="G523" s="1210"/>
      <c r="H523" s="464">
        <f>SUM(F523*G523)</f>
        <v>0</v>
      </c>
      <c r="I523" s="455"/>
      <c r="J523" s="455"/>
    </row>
    <row r="524" spans="2:10">
      <c r="B524" s="622"/>
      <c r="C524" s="623"/>
      <c r="D524" s="1202"/>
      <c r="E524" s="624"/>
      <c r="F524" s="475"/>
      <c r="G524" s="1210"/>
      <c r="H524" s="505"/>
      <c r="I524" s="455"/>
      <c r="J524" s="455"/>
    </row>
    <row r="525" spans="2:10" ht="36">
      <c r="B525" s="555" t="s">
        <v>1600</v>
      </c>
      <c r="C525" s="559" t="s">
        <v>1695</v>
      </c>
      <c r="D525" s="1167"/>
      <c r="E525" s="487" t="s">
        <v>514</v>
      </c>
      <c r="F525" s="488">
        <v>240</v>
      </c>
      <c r="G525" s="1210"/>
      <c r="H525" s="464">
        <f>SUM(F525*G525)</f>
        <v>0</v>
      </c>
      <c r="I525" s="455"/>
      <c r="J525" s="455"/>
    </row>
    <row r="526" spans="2:10">
      <c r="B526" s="622"/>
      <c r="C526" s="623"/>
      <c r="D526" s="1202"/>
      <c r="E526" s="624"/>
      <c r="F526" s="475"/>
      <c r="G526" s="1210"/>
      <c r="H526" s="505"/>
      <c r="I526" s="455"/>
      <c r="J526" s="455"/>
    </row>
    <row r="527" spans="2:10" ht="32.25" customHeight="1">
      <c r="B527" s="555" t="s">
        <v>1696</v>
      </c>
      <c r="C527" s="559" t="s">
        <v>1697</v>
      </c>
      <c r="D527" s="1167"/>
      <c r="E527" s="487" t="s">
        <v>11</v>
      </c>
      <c r="F527" s="488">
        <v>55</v>
      </c>
      <c r="G527" s="1210"/>
      <c r="H527" s="464">
        <f>SUM(F527*G527)</f>
        <v>0</v>
      </c>
      <c r="I527" s="455"/>
      <c r="J527" s="455"/>
    </row>
    <row r="528" spans="2:10">
      <c r="B528" s="622"/>
      <c r="C528" s="623"/>
      <c r="D528" s="1202"/>
      <c r="E528" s="624"/>
      <c r="F528" s="475"/>
      <c r="G528" s="1210"/>
      <c r="H528" s="505"/>
      <c r="I528" s="455"/>
      <c r="J528" s="455"/>
    </row>
    <row r="529" spans="2:10" ht="15.75" customHeight="1">
      <c r="B529" s="555" t="s">
        <v>1698</v>
      </c>
      <c r="C529" s="606" t="s">
        <v>1699</v>
      </c>
      <c r="D529" s="1203"/>
      <c r="E529" s="487" t="s">
        <v>11</v>
      </c>
      <c r="F529" s="488">
        <v>16</v>
      </c>
      <c r="G529" s="1210"/>
      <c r="H529" s="464">
        <f>SUM(F529*G529)</f>
        <v>0</v>
      </c>
      <c r="I529" s="455"/>
      <c r="J529" s="455"/>
    </row>
    <row r="530" spans="2:10">
      <c r="B530" s="555"/>
      <c r="C530" s="606"/>
      <c r="D530" s="1203"/>
      <c r="E530" s="487"/>
      <c r="F530" s="488"/>
      <c r="G530" s="1210"/>
      <c r="H530" s="534"/>
      <c r="I530" s="455"/>
      <c r="J530" s="455"/>
    </row>
    <row r="531" spans="2:10" ht="24">
      <c r="B531" s="555" t="s">
        <v>1611</v>
      </c>
      <c r="C531" s="606" t="s">
        <v>1700</v>
      </c>
      <c r="D531" s="1203"/>
      <c r="E531" s="487" t="s">
        <v>11</v>
      </c>
      <c r="F531" s="488">
        <v>8</v>
      </c>
      <c r="G531" s="1210"/>
      <c r="H531" s="464">
        <f>SUM(F531*G531)</f>
        <v>0</v>
      </c>
      <c r="I531" s="455"/>
      <c r="J531" s="455"/>
    </row>
    <row r="532" spans="2:10">
      <c r="B532" s="555"/>
      <c r="C532" s="606"/>
      <c r="D532" s="1203"/>
      <c r="E532" s="487"/>
      <c r="F532" s="488"/>
      <c r="G532" s="1210"/>
      <c r="H532" s="534"/>
      <c r="I532" s="455"/>
      <c r="J532" s="455"/>
    </row>
    <row r="533" spans="2:10" ht="24">
      <c r="B533" s="625">
        <v>6</v>
      </c>
      <c r="C533" s="626" t="s">
        <v>1701</v>
      </c>
      <c r="D533" s="1204"/>
      <c r="E533" s="627" t="s">
        <v>21</v>
      </c>
      <c r="F533" s="628">
        <v>1</v>
      </c>
      <c r="G533" s="1210"/>
      <c r="H533" s="464">
        <f>SUM(F533*G533)</f>
        <v>0</v>
      </c>
      <c r="I533" s="455"/>
      <c r="J533" s="455"/>
    </row>
    <row r="534" spans="2:10">
      <c r="B534" s="629"/>
      <c r="C534" s="630"/>
      <c r="D534" s="1205"/>
      <c r="E534" s="1122"/>
      <c r="F534" s="631"/>
      <c r="G534" s="1211"/>
      <c r="H534" s="506"/>
      <c r="I534" s="455"/>
      <c r="J534" s="455"/>
    </row>
    <row r="535" spans="2:10">
      <c r="B535" s="619" t="s">
        <v>1692</v>
      </c>
      <c r="C535" s="620" t="s">
        <v>1702</v>
      </c>
      <c r="D535" s="1200"/>
      <c r="E535" s="487"/>
      <c r="F535" s="488"/>
      <c r="G535" s="1210"/>
      <c r="H535" s="505">
        <f>SUM(H523:H534)</f>
        <v>0</v>
      </c>
      <c r="I535" s="455"/>
      <c r="J535" s="455"/>
    </row>
    <row r="536" spans="2:10">
      <c r="B536" s="632"/>
      <c r="C536" s="538"/>
      <c r="D536" s="1162"/>
      <c r="E536" s="624"/>
      <c r="F536" s="475"/>
      <c r="G536" s="1236"/>
      <c r="H536" s="464"/>
      <c r="I536" s="455"/>
      <c r="J536" s="455"/>
    </row>
    <row r="537" spans="2:10">
      <c r="B537" s="632"/>
      <c r="C537" s="538"/>
      <c r="D537" s="1162"/>
      <c r="E537" s="624"/>
      <c r="F537" s="475"/>
      <c r="G537" s="1236"/>
      <c r="H537" s="464"/>
      <c r="I537" s="455"/>
      <c r="J537" s="455"/>
    </row>
    <row r="538" spans="2:10">
      <c r="B538" s="477"/>
      <c r="C538" s="535"/>
      <c r="D538" s="1161"/>
      <c r="E538" s="1123"/>
      <c r="G538" s="1225"/>
      <c r="I538" s="455"/>
      <c r="J538" s="455"/>
    </row>
    <row r="539" spans="2:10">
      <c r="B539" s="477" t="s">
        <v>1703</v>
      </c>
      <c r="C539" s="620" t="s">
        <v>20</v>
      </c>
      <c r="D539" s="1200"/>
      <c r="E539" s="627"/>
      <c r="F539" s="628"/>
      <c r="G539" s="1237"/>
      <c r="H539" s="505"/>
      <c r="I539" s="455"/>
      <c r="J539" s="455"/>
    </row>
    <row r="540" spans="2:10">
      <c r="B540" s="477"/>
      <c r="C540" s="532"/>
      <c r="D540" s="1159"/>
      <c r="E540" s="1104"/>
      <c r="F540" s="587"/>
      <c r="G540" s="1237"/>
      <c r="H540" s="505"/>
      <c r="I540" s="455"/>
      <c r="J540" s="455"/>
    </row>
    <row r="541" spans="2:10" ht="53.25" customHeight="1">
      <c r="B541" s="477" t="s">
        <v>1357</v>
      </c>
      <c r="C541" s="533" t="s">
        <v>1704</v>
      </c>
      <c r="D541" s="1160"/>
      <c r="E541" s="1104" t="s">
        <v>46</v>
      </c>
      <c r="F541" s="587">
        <v>15</v>
      </c>
      <c r="G541" s="1237"/>
      <c r="H541" s="464">
        <f>SUM(F541*G541)</f>
        <v>0</v>
      </c>
      <c r="I541" s="455"/>
      <c r="J541" s="455"/>
    </row>
    <row r="542" spans="2:10">
      <c r="B542" s="477"/>
      <c r="C542" s="533"/>
      <c r="D542" s="1160"/>
      <c r="E542" s="1117"/>
      <c r="F542" s="556"/>
      <c r="G542" s="1237"/>
      <c r="H542" s="505"/>
      <c r="I542" s="455"/>
      <c r="J542" s="455"/>
    </row>
    <row r="543" spans="2:10" ht="60">
      <c r="B543" s="477" t="s">
        <v>1359</v>
      </c>
      <c r="C543" s="533" t="s">
        <v>1705</v>
      </c>
      <c r="D543" s="1160"/>
      <c r="E543" s="1117" t="s">
        <v>21</v>
      </c>
      <c r="F543" s="556">
        <v>1</v>
      </c>
      <c r="G543" s="1237"/>
      <c r="H543" s="464">
        <f>SUM(F543*G543)</f>
        <v>0</v>
      </c>
      <c r="I543" s="455"/>
      <c r="J543" s="455"/>
    </row>
    <row r="544" spans="2:10">
      <c r="B544" s="477"/>
      <c r="C544" s="533"/>
      <c r="D544" s="1160"/>
      <c r="E544" s="1117"/>
      <c r="F544" s="556"/>
      <c r="G544" s="1237"/>
      <c r="H544" s="505"/>
      <c r="I544" s="455"/>
      <c r="J544" s="455"/>
    </row>
    <row r="545" spans="2:10">
      <c r="B545" s="477" t="s">
        <v>1361</v>
      </c>
      <c r="C545" s="561" t="s">
        <v>1706</v>
      </c>
      <c r="D545" s="1169"/>
      <c r="E545" s="1117" t="s">
        <v>1405</v>
      </c>
      <c r="F545" s="556" t="s">
        <v>1405</v>
      </c>
      <c r="G545" s="1237"/>
      <c r="H545" s="505"/>
      <c r="I545" s="455"/>
      <c r="J545" s="455"/>
    </row>
    <row r="546" spans="2:10">
      <c r="B546" s="477"/>
      <c r="C546" s="561" t="s">
        <v>1707</v>
      </c>
      <c r="D546" s="1169"/>
      <c r="E546" s="1117"/>
      <c r="F546" s="556"/>
      <c r="G546" s="1237"/>
      <c r="H546" s="505"/>
      <c r="I546" s="455"/>
      <c r="J546" s="455"/>
    </row>
    <row r="547" spans="2:10">
      <c r="B547" s="477"/>
      <c r="C547" s="561" t="s">
        <v>1708</v>
      </c>
      <c r="D547" s="1169"/>
      <c r="E547" s="1117"/>
      <c r="F547" s="556"/>
      <c r="G547" s="1237"/>
      <c r="H547" s="505"/>
      <c r="I547" s="455"/>
      <c r="J547" s="455"/>
    </row>
    <row r="548" spans="2:10">
      <c r="B548" s="477"/>
      <c r="C548" s="561" t="s">
        <v>1709</v>
      </c>
      <c r="D548" s="1169"/>
      <c r="E548" s="1117"/>
      <c r="F548" s="556"/>
      <c r="G548" s="1237"/>
      <c r="H548" s="505"/>
      <c r="I548" s="455"/>
      <c r="J548" s="455"/>
    </row>
    <row r="549" spans="2:10" ht="16.5" customHeight="1">
      <c r="B549" s="477"/>
      <c r="C549" s="561" t="s">
        <v>1710</v>
      </c>
      <c r="D549" s="1169"/>
      <c r="E549" s="1117"/>
      <c r="F549" s="556"/>
      <c r="G549" s="1237"/>
      <c r="H549" s="505"/>
      <c r="I549" s="455"/>
      <c r="J549" s="455"/>
    </row>
    <row r="550" spans="2:10" ht="24">
      <c r="B550" s="477"/>
      <c r="C550" s="561" t="s">
        <v>1711</v>
      </c>
      <c r="D550" s="1169"/>
      <c r="E550" s="1117"/>
      <c r="F550" s="556"/>
      <c r="G550" s="1237"/>
      <c r="H550" s="505"/>
      <c r="I550" s="455"/>
      <c r="J550" s="455"/>
    </row>
    <row r="551" spans="2:10">
      <c r="B551" s="477"/>
      <c r="C551" s="561" t="s">
        <v>1712</v>
      </c>
      <c r="D551" s="1169"/>
      <c r="E551" s="1117"/>
      <c r="F551" s="556"/>
      <c r="G551" s="1237"/>
      <c r="H551" s="505"/>
      <c r="I551" s="455"/>
      <c r="J551" s="455"/>
    </row>
    <row r="552" spans="2:10">
      <c r="B552" s="477"/>
      <c r="C552" s="561" t="s">
        <v>1713</v>
      </c>
      <c r="D552" s="1169"/>
      <c r="E552" s="1117"/>
      <c r="F552" s="556"/>
      <c r="G552" s="1237"/>
      <c r="H552" s="505"/>
      <c r="I552" s="455"/>
      <c r="J552" s="455"/>
    </row>
    <row r="553" spans="2:10">
      <c r="B553" s="477"/>
      <c r="C553" s="561" t="s">
        <v>1714</v>
      </c>
      <c r="D553" s="1169"/>
      <c r="E553" s="1117"/>
      <c r="F553" s="556"/>
      <c r="G553" s="1237"/>
      <c r="H553" s="505"/>
      <c r="I553" s="455"/>
      <c r="J553" s="455"/>
    </row>
    <row r="554" spans="2:10" ht="24">
      <c r="B554" s="477"/>
      <c r="C554" s="561" t="s">
        <v>1715</v>
      </c>
      <c r="D554" s="1169"/>
      <c r="E554" s="1117" t="s">
        <v>21</v>
      </c>
      <c r="F554" s="556">
        <v>1</v>
      </c>
      <c r="G554" s="1237"/>
      <c r="H554" s="464">
        <f>SUM(F554*G554)</f>
        <v>0</v>
      </c>
      <c r="I554" s="455"/>
      <c r="J554" s="455"/>
    </row>
    <row r="555" spans="2:10">
      <c r="B555" s="477"/>
      <c r="C555" s="533"/>
      <c r="D555" s="1160"/>
      <c r="E555" s="1117"/>
      <c r="F555" s="556"/>
      <c r="G555" s="1237"/>
      <c r="H555" s="505"/>
      <c r="I555" s="455"/>
      <c r="J555" s="455"/>
    </row>
    <row r="556" spans="2:10">
      <c r="B556" s="633"/>
      <c r="C556" s="634"/>
      <c r="D556" s="1206"/>
      <c r="E556" s="1124"/>
      <c r="F556" s="635"/>
      <c r="G556" s="1238"/>
      <c r="H556" s="506"/>
      <c r="I556" s="455"/>
      <c r="J556" s="455"/>
    </row>
    <row r="557" spans="2:10">
      <c r="B557" s="477" t="s">
        <v>1703</v>
      </c>
      <c r="C557" s="620" t="s">
        <v>1716</v>
      </c>
      <c r="D557" s="1200"/>
      <c r="E557" s="1117"/>
      <c r="F557" s="556"/>
      <c r="G557" s="1237"/>
      <c r="H557" s="505">
        <f>SUM(H541:I556)</f>
        <v>0</v>
      </c>
      <c r="I557" s="455"/>
      <c r="J557" s="455"/>
    </row>
    <row r="558" spans="2:10">
      <c r="B558" s="477"/>
      <c r="C558" s="533"/>
      <c r="D558" s="1160"/>
      <c r="E558" s="1117"/>
      <c r="F558" s="556"/>
      <c r="G558" s="1237"/>
      <c r="H558" s="505"/>
      <c r="I558" s="455"/>
      <c r="J558" s="455"/>
    </row>
    <row r="559" spans="2:10">
      <c r="B559" s="477"/>
      <c r="C559" s="533"/>
      <c r="D559" s="1160"/>
      <c r="E559" s="1117"/>
      <c r="F559" s="556"/>
      <c r="G559" s="1237"/>
      <c r="H559" s="505"/>
      <c r="I559" s="455"/>
      <c r="J559" s="455"/>
    </row>
    <row r="560" spans="2:10" ht="28.5" customHeight="1">
      <c r="C560" s="535"/>
      <c r="D560" s="1161"/>
      <c r="E560" s="1123"/>
      <c r="G560" s="1225"/>
      <c r="I560" s="455"/>
      <c r="J560" s="455"/>
    </row>
    <row r="561" spans="2:10">
      <c r="C561" s="535" t="s">
        <v>1717</v>
      </c>
      <c r="D561" s="1161"/>
      <c r="E561" s="1123"/>
      <c r="G561" s="1225"/>
      <c r="I561" s="455"/>
      <c r="J561" s="455"/>
    </row>
    <row r="562" spans="2:10">
      <c r="C562" s="535"/>
      <c r="D562" s="1161"/>
      <c r="E562" s="1123"/>
      <c r="G562" s="1225"/>
      <c r="I562" s="455"/>
      <c r="J562" s="455"/>
    </row>
    <row r="563" spans="2:10" ht="14.25" customHeight="1">
      <c r="B563" s="636" t="s">
        <v>716</v>
      </c>
      <c r="C563" s="535" t="s">
        <v>1427</v>
      </c>
      <c r="D563" s="1161"/>
      <c r="E563" s="1123"/>
      <c r="G563" s="1225"/>
      <c r="H563" s="476">
        <f>H207</f>
        <v>0</v>
      </c>
      <c r="I563" s="455"/>
      <c r="J563" s="455"/>
    </row>
    <row r="564" spans="2:10">
      <c r="B564" s="636" t="s">
        <v>717</v>
      </c>
      <c r="C564" s="535" t="s">
        <v>1718</v>
      </c>
      <c r="D564" s="1161"/>
      <c r="E564" s="1123"/>
      <c r="G564" s="1225"/>
      <c r="H564" s="476">
        <f>H231</f>
        <v>0</v>
      </c>
      <c r="I564" s="455"/>
      <c r="J564" s="455"/>
    </row>
    <row r="565" spans="2:10" ht="15.75" customHeight="1">
      <c r="B565" s="636" t="s">
        <v>1509</v>
      </c>
      <c r="C565" s="535" t="s">
        <v>1510</v>
      </c>
      <c r="D565" s="1161"/>
      <c r="E565" s="1123"/>
      <c r="G565" s="1225"/>
      <c r="H565" s="476">
        <f>H351</f>
        <v>0</v>
      </c>
      <c r="I565" s="455"/>
      <c r="J565" s="455"/>
    </row>
    <row r="566" spans="2:10" ht="14.25" customHeight="1">
      <c r="B566" s="636" t="s">
        <v>1593</v>
      </c>
      <c r="C566" s="535" t="s">
        <v>1719</v>
      </c>
      <c r="D566" s="1161"/>
      <c r="E566" s="1123"/>
      <c r="G566" s="1225"/>
      <c r="H566" s="476">
        <f>H414</f>
        <v>0</v>
      </c>
      <c r="I566" s="455"/>
      <c r="J566" s="455"/>
    </row>
    <row r="567" spans="2:10">
      <c r="B567" s="636" t="s">
        <v>1640</v>
      </c>
      <c r="C567" s="535" t="s">
        <v>1641</v>
      </c>
      <c r="D567" s="1161"/>
      <c r="E567" s="1123"/>
      <c r="G567" s="1225"/>
      <c r="H567" s="476">
        <f>H519</f>
        <v>0</v>
      </c>
      <c r="I567" s="455"/>
      <c r="J567" s="455"/>
    </row>
    <row r="568" spans="2:10" ht="13.5" customHeight="1">
      <c r="B568" s="636" t="s">
        <v>1692</v>
      </c>
      <c r="C568" s="535" t="s">
        <v>1693</v>
      </c>
      <c r="D568" s="1161"/>
      <c r="E568" s="1123"/>
      <c r="G568" s="1225"/>
      <c r="H568" s="476">
        <f>H535</f>
        <v>0</v>
      </c>
      <c r="I568" s="455"/>
      <c r="J568" s="455"/>
    </row>
    <row r="569" spans="2:10">
      <c r="B569" s="636" t="s">
        <v>1703</v>
      </c>
      <c r="C569" s="535" t="s">
        <v>20</v>
      </c>
      <c r="D569" s="1161"/>
      <c r="E569" s="1125"/>
      <c r="F569" s="566"/>
      <c r="G569" s="1226"/>
      <c r="H569" s="1130">
        <f>H557</f>
        <v>0</v>
      </c>
      <c r="I569" s="455"/>
      <c r="J569" s="455"/>
    </row>
    <row r="570" spans="2:10">
      <c r="C570" s="637" t="s">
        <v>1720</v>
      </c>
      <c r="D570" s="1207"/>
      <c r="E570" s="1123"/>
      <c r="G570" s="1225"/>
      <c r="H570" s="476">
        <f>SUM(H563:H569)</f>
        <v>0</v>
      </c>
      <c r="I570" s="455"/>
      <c r="J570" s="455"/>
    </row>
    <row r="571" spans="2:10">
      <c r="C571" s="535"/>
      <c r="D571" s="535"/>
      <c r="E571" s="1123"/>
      <c r="F571" s="638"/>
      <c r="I571" s="455"/>
      <c r="J571" s="455"/>
    </row>
    <row r="572" spans="2:10">
      <c r="B572" s="588"/>
      <c r="C572" s="535"/>
      <c r="D572" s="535"/>
      <c r="E572" s="1123"/>
      <c r="F572" s="638"/>
      <c r="G572" s="588"/>
      <c r="H572" s="1141"/>
      <c r="I572" s="455"/>
      <c r="J572" s="455"/>
    </row>
    <row r="573" spans="2:10">
      <c r="B573" s="588"/>
      <c r="C573" s="535"/>
      <c r="D573" s="535"/>
      <c r="E573" s="1123"/>
      <c r="F573" s="638"/>
      <c r="G573" s="588"/>
      <c r="H573" s="1141"/>
      <c r="I573" s="455"/>
      <c r="J573" s="455"/>
    </row>
    <row r="574" spans="2:10" ht="15" customHeight="1">
      <c r="B574" s="588"/>
      <c r="C574" s="535"/>
      <c r="D574" s="535"/>
      <c r="E574" s="1123"/>
      <c r="F574" s="638"/>
      <c r="G574" s="588"/>
      <c r="H574" s="1141"/>
      <c r="I574" s="455"/>
      <c r="J574" s="455"/>
    </row>
    <row r="575" spans="2:10" ht="16.5" customHeight="1">
      <c r="B575" s="588"/>
      <c r="C575" s="535"/>
      <c r="D575" s="535"/>
      <c r="E575" s="1123"/>
      <c r="F575" s="638"/>
      <c r="G575" s="588"/>
      <c r="H575" s="1141"/>
      <c r="I575" s="455"/>
      <c r="J575" s="455"/>
    </row>
    <row r="576" spans="2:10">
      <c r="B576" s="588"/>
      <c r="C576" s="535"/>
      <c r="D576" s="535"/>
      <c r="E576" s="1123"/>
      <c r="F576" s="638"/>
      <c r="G576" s="588"/>
      <c r="H576" s="1141"/>
      <c r="I576" s="455"/>
      <c r="J576" s="455"/>
    </row>
    <row r="577" spans="2:10">
      <c r="B577" s="588"/>
      <c r="C577" s="535"/>
      <c r="D577" s="535"/>
      <c r="E577" s="1123"/>
      <c r="F577" s="638"/>
      <c r="G577" s="588"/>
      <c r="H577" s="1141"/>
      <c r="I577" s="455"/>
      <c r="J577" s="455"/>
    </row>
    <row r="578" spans="2:10">
      <c r="B578" s="588"/>
      <c r="C578" s="535"/>
      <c r="D578" s="535"/>
      <c r="E578" s="1123"/>
      <c r="F578" s="638"/>
      <c r="G578" s="588"/>
      <c r="H578" s="1141"/>
      <c r="I578" s="455"/>
      <c r="J578" s="455"/>
    </row>
    <row r="579" spans="2:10">
      <c r="B579" s="588"/>
      <c r="C579" s="535"/>
      <c r="D579" s="535"/>
      <c r="E579" s="1123"/>
      <c r="F579" s="638"/>
      <c r="G579" s="588"/>
      <c r="H579" s="1141"/>
      <c r="I579" s="455"/>
      <c r="J579" s="455"/>
    </row>
    <row r="580" spans="2:10">
      <c r="B580" s="588"/>
      <c r="C580" s="535"/>
      <c r="D580" s="535"/>
      <c r="E580" s="1123"/>
      <c r="G580" s="588"/>
      <c r="H580" s="1141"/>
      <c r="I580" s="455"/>
      <c r="J580" s="455"/>
    </row>
    <row r="581" spans="2:10">
      <c r="B581" s="588"/>
      <c r="C581" s="535"/>
      <c r="D581" s="535"/>
      <c r="E581" s="1123"/>
      <c r="G581" s="588"/>
      <c r="H581" s="1141"/>
      <c r="I581" s="455"/>
      <c r="J581" s="455"/>
    </row>
    <row r="582" spans="2:10">
      <c r="B582" s="588"/>
      <c r="C582" s="535"/>
      <c r="D582" s="535"/>
      <c r="E582" s="1123"/>
      <c r="G582" s="588"/>
      <c r="H582" s="1141"/>
      <c r="I582" s="455"/>
      <c r="J582" s="455"/>
    </row>
    <row r="583" spans="2:10">
      <c r="B583" s="588"/>
      <c r="C583" s="535"/>
      <c r="D583" s="535"/>
      <c r="E583" s="1123"/>
      <c r="G583" s="588"/>
      <c r="H583" s="1141"/>
      <c r="I583" s="455"/>
      <c r="J583" s="455"/>
    </row>
    <row r="584" spans="2:10">
      <c r="B584" s="588"/>
      <c r="C584" s="535"/>
      <c r="D584" s="535"/>
      <c r="E584" s="1123"/>
      <c r="G584" s="588"/>
      <c r="H584" s="1141"/>
      <c r="I584" s="455"/>
      <c r="J584" s="455"/>
    </row>
    <row r="585" spans="2:10">
      <c r="B585" s="588"/>
      <c r="C585" s="535"/>
      <c r="D585" s="535"/>
      <c r="E585" s="1123"/>
      <c r="G585" s="588"/>
      <c r="H585" s="1141"/>
      <c r="I585" s="455"/>
      <c r="J585" s="455"/>
    </row>
    <row r="586" spans="2:10">
      <c r="B586" s="588"/>
      <c r="C586" s="535"/>
      <c r="D586" s="535"/>
      <c r="E586" s="1123"/>
      <c r="G586" s="588"/>
      <c r="H586" s="1141"/>
      <c r="I586" s="455"/>
      <c r="J586" s="455"/>
    </row>
    <row r="587" spans="2:10">
      <c r="B587" s="588"/>
      <c r="C587" s="535"/>
      <c r="D587" s="535"/>
      <c r="E587" s="1123"/>
      <c r="G587" s="588"/>
      <c r="H587" s="1141"/>
      <c r="I587" s="455"/>
      <c r="J587" s="455"/>
    </row>
    <row r="588" spans="2:10">
      <c r="B588" s="588"/>
      <c r="C588" s="535"/>
      <c r="D588" s="535"/>
      <c r="E588" s="1123"/>
      <c r="F588" s="1132"/>
      <c r="G588" s="588"/>
      <c r="H588" s="1141"/>
      <c r="I588" s="455"/>
      <c r="J588" s="455"/>
    </row>
    <row r="589" spans="2:10">
      <c r="B589" s="588"/>
      <c r="C589" s="535"/>
      <c r="D589" s="535"/>
      <c r="E589" s="1123"/>
      <c r="F589" s="1132"/>
      <c r="G589" s="588"/>
      <c r="H589" s="1141"/>
      <c r="I589" s="455"/>
      <c r="J589" s="455"/>
    </row>
    <row r="590" spans="2:10">
      <c r="B590" s="588"/>
      <c r="C590" s="535"/>
      <c r="D590" s="535"/>
      <c r="E590" s="1123"/>
      <c r="F590" s="1132"/>
      <c r="G590" s="588"/>
      <c r="H590" s="1141"/>
      <c r="I590" s="455"/>
      <c r="J590" s="455"/>
    </row>
    <row r="591" spans="2:10">
      <c r="B591" s="588"/>
      <c r="C591" s="535"/>
      <c r="D591" s="535"/>
      <c r="E591" s="1123"/>
      <c r="F591" s="1132"/>
      <c r="G591" s="588"/>
      <c r="H591" s="1141"/>
      <c r="I591" s="455"/>
      <c r="J591" s="455"/>
    </row>
    <row r="592" spans="2:10">
      <c r="B592" s="588"/>
      <c r="C592" s="535"/>
      <c r="D592" s="535"/>
      <c r="E592" s="1123"/>
      <c r="F592" s="1132"/>
      <c r="G592" s="588"/>
      <c r="H592" s="1141"/>
      <c r="I592" s="455"/>
      <c r="J592" s="455"/>
    </row>
    <row r="593" spans="2:10">
      <c r="B593" s="588"/>
      <c r="C593" s="535"/>
      <c r="D593" s="535"/>
      <c r="E593" s="1123"/>
      <c r="F593" s="1132"/>
      <c r="G593" s="588"/>
      <c r="H593" s="1141"/>
      <c r="I593" s="455"/>
      <c r="J593" s="455"/>
    </row>
    <row r="594" spans="2:10">
      <c r="B594" s="588"/>
      <c r="C594" s="535"/>
      <c r="D594" s="535"/>
      <c r="E594" s="1123"/>
      <c r="F594" s="1132"/>
      <c r="G594" s="588"/>
      <c r="H594" s="1141"/>
      <c r="I594" s="455"/>
      <c r="J594" s="455"/>
    </row>
    <row r="595" spans="2:10">
      <c r="B595" s="588"/>
      <c r="C595" s="535"/>
      <c r="D595" s="535"/>
      <c r="E595" s="1123"/>
      <c r="F595" s="1132"/>
      <c r="G595" s="588"/>
      <c r="H595" s="1141"/>
      <c r="I595" s="455"/>
      <c r="J595" s="455"/>
    </row>
    <row r="596" spans="2:10">
      <c r="B596" s="588"/>
      <c r="C596" s="535"/>
      <c r="D596" s="535"/>
      <c r="E596" s="1123"/>
      <c r="F596" s="1132"/>
      <c r="G596" s="588"/>
      <c r="H596" s="1141"/>
      <c r="I596" s="455"/>
      <c r="J596" s="455"/>
    </row>
    <row r="597" spans="2:10">
      <c r="B597" s="588"/>
      <c r="C597" s="535"/>
      <c r="D597" s="535"/>
      <c r="E597" s="1123"/>
      <c r="F597" s="1132"/>
      <c r="G597" s="588"/>
      <c r="H597" s="1141"/>
      <c r="I597" s="455"/>
      <c r="J597" s="455"/>
    </row>
    <row r="598" spans="2:10">
      <c r="B598" s="588"/>
      <c r="C598" s="535"/>
      <c r="D598" s="535"/>
      <c r="E598" s="1123"/>
      <c r="F598" s="1132"/>
      <c r="G598" s="588"/>
      <c r="H598" s="1141"/>
      <c r="I598" s="455"/>
      <c r="J598" s="455"/>
    </row>
    <row r="599" spans="2:10">
      <c r="B599" s="588"/>
      <c r="C599" s="535"/>
      <c r="D599" s="535"/>
      <c r="E599" s="1123"/>
      <c r="F599" s="1132"/>
      <c r="G599" s="588"/>
      <c r="H599" s="1141"/>
      <c r="I599" s="455"/>
      <c r="J599" s="455"/>
    </row>
    <row r="600" spans="2:10">
      <c r="B600" s="588"/>
      <c r="C600" s="535"/>
      <c r="D600" s="535"/>
      <c r="E600" s="1123"/>
      <c r="F600" s="1132"/>
      <c r="G600" s="588"/>
      <c r="H600" s="1141"/>
      <c r="I600" s="455"/>
      <c r="J600" s="455"/>
    </row>
    <row r="601" spans="2:10">
      <c r="B601" s="588"/>
      <c r="C601" s="535"/>
      <c r="D601" s="535"/>
      <c r="E601" s="1123"/>
      <c r="F601" s="1132"/>
      <c r="G601" s="588"/>
      <c r="H601" s="1141"/>
      <c r="I601" s="455"/>
      <c r="J601" s="455"/>
    </row>
    <row r="602" spans="2:10">
      <c r="B602" s="588"/>
      <c r="C602" s="535"/>
      <c r="D602" s="535"/>
      <c r="E602" s="1123"/>
      <c r="F602" s="1132"/>
      <c r="G602" s="588"/>
      <c r="H602" s="1141"/>
      <c r="I602" s="455"/>
      <c r="J602" s="455"/>
    </row>
    <row r="603" spans="2:10">
      <c r="B603" s="588"/>
      <c r="C603" s="535"/>
      <c r="D603" s="535"/>
      <c r="E603" s="1123"/>
      <c r="F603" s="1132"/>
      <c r="G603" s="588"/>
      <c r="H603" s="1141"/>
      <c r="I603" s="455"/>
      <c r="J603" s="455"/>
    </row>
    <row r="604" spans="2:10">
      <c r="B604" s="588"/>
      <c r="C604" s="535"/>
      <c r="D604" s="535"/>
      <c r="E604" s="1123"/>
      <c r="F604" s="1132"/>
      <c r="G604" s="588"/>
      <c r="H604" s="1141"/>
      <c r="I604" s="455"/>
      <c r="J604" s="455"/>
    </row>
    <row r="605" spans="2:10">
      <c r="B605" s="588"/>
      <c r="C605" s="535"/>
      <c r="D605" s="535"/>
      <c r="E605" s="1123"/>
      <c r="F605" s="1132"/>
      <c r="G605" s="588"/>
      <c r="H605" s="1141"/>
      <c r="I605" s="455"/>
      <c r="J605" s="455"/>
    </row>
    <row r="606" spans="2:10">
      <c r="B606" s="588"/>
      <c r="C606" s="535"/>
      <c r="D606" s="535"/>
      <c r="E606" s="1123"/>
      <c r="F606" s="1132"/>
      <c r="G606" s="588"/>
      <c r="H606" s="1141"/>
      <c r="I606" s="455"/>
      <c r="J606" s="455"/>
    </row>
    <row r="607" spans="2:10">
      <c r="B607" s="588"/>
      <c r="C607" s="535"/>
      <c r="D607" s="535"/>
      <c r="E607" s="1123"/>
      <c r="F607" s="1132"/>
      <c r="G607" s="588"/>
      <c r="H607" s="1141"/>
      <c r="I607" s="455"/>
      <c r="J607" s="455"/>
    </row>
    <row r="608" spans="2:10">
      <c r="B608" s="588"/>
      <c r="C608" s="535"/>
      <c r="D608" s="535"/>
      <c r="E608" s="1123"/>
      <c r="F608" s="1132"/>
      <c r="G608" s="588"/>
      <c r="H608" s="1141"/>
      <c r="I608" s="455"/>
      <c r="J608" s="455"/>
    </row>
    <row r="609" spans="2:10">
      <c r="B609" s="588"/>
      <c r="C609" s="535"/>
      <c r="D609" s="535"/>
      <c r="E609" s="1123"/>
      <c r="F609" s="1132"/>
      <c r="G609" s="588"/>
      <c r="H609" s="1141"/>
      <c r="I609" s="455"/>
      <c r="J609" s="455"/>
    </row>
    <row r="610" spans="2:10" ht="31.5" customHeight="1">
      <c r="B610" s="588"/>
      <c r="C610" s="535"/>
      <c r="D610" s="535"/>
      <c r="E610" s="1123"/>
      <c r="F610" s="1132"/>
      <c r="G610" s="588"/>
      <c r="H610" s="1141"/>
      <c r="I610" s="455"/>
      <c r="J610" s="455"/>
    </row>
    <row r="611" spans="2:10">
      <c r="B611" s="588"/>
      <c r="C611" s="535"/>
      <c r="D611" s="535"/>
      <c r="E611" s="1123"/>
      <c r="F611" s="1132"/>
      <c r="G611" s="588"/>
      <c r="H611" s="1141"/>
      <c r="I611" s="455"/>
      <c r="J611" s="455"/>
    </row>
    <row r="612" spans="2:10" ht="42.75" customHeight="1">
      <c r="B612" s="588"/>
      <c r="C612" s="535"/>
      <c r="D612" s="535"/>
      <c r="E612" s="1123"/>
      <c r="F612" s="1132"/>
      <c r="G612" s="588"/>
      <c r="H612" s="1141"/>
      <c r="I612" s="455"/>
      <c r="J612" s="455"/>
    </row>
    <row r="613" spans="2:10">
      <c r="B613" s="588"/>
      <c r="C613" s="535"/>
      <c r="D613" s="535"/>
      <c r="E613" s="1123"/>
      <c r="F613" s="1132"/>
      <c r="G613" s="588"/>
      <c r="H613" s="1141"/>
      <c r="I613" s="455"/>
      <c r="J613" s="455"/>
    </row>
    <row r="614" spans="2:10">
      <c r="B614" s="588"/>
      <c r="C614" s="535"/>
      <c r="D614" s="535"/>
      <c r="E614" s="1123"/>
      <c r="F614" s="1132"/>
      <c r="G614" s="588"/>
      <c r="H614" s="1141"/>
      <c r="I614" s="455"/>
      <c r="J614" s="455"/>
    </row>
    <row r="615" spans="2:10">
      <c r="B615" s="588"/>
      <c r="C615" s="535"/>
      <c r="D615" s="535"/>
      <c r="E615" s="1123"/>
      <c r="F615" s="1132"/>
      <c r="G615" s="588"/>
      <c r="H615" s="1141"/>
      <c r="I615" s="455"/>
      <c r="J615" s="455"/>
    </row>
    <row r="616" spans="2:10">
      <c r="B616" s="588"/>
      <c r="C616" s="535"/>
      <c r="D616" s="535"/>
      <c r="E616" s="1123"/>
      <c r="F616" s="1132"/>
      <c r="G616" s="588"/>
      <c r="H616" s="1141"/>
      <c r="I616" s="455"/>
      <c r="J616" s="455"/>
    </row>
    <row r="617" spans="2:10">
      <c r="B617" s="588"/>
      <c r="C617" s="535"/>
      <c r="D617" s="535"/>
      <c r="E617" s="1123"/>
      <c r="F617" s="1132"/>
      <c r="G617" s="588"/>
      <c r="H617" s="1141"/>
      <c r="I617" s="455"/>
      <c r="J617" s="455"/>
    </row>
    <row r="618" spans="2:10">
      <c r="B618" s="588"/>
      <c r="C618" s="535"/>
      <c r="D618" s="535"/>
      <c r="E618" s="1123"/>
      <c r="F618" s="1132"/>
      <c r="G618" s="588"/>
      <c r="H618" s="1141"/>
      <c r="I618" s="455"/>
      <c r="J618" s="455"/>
    </row>
    <row r="619" spans="2:10">
      <c r="B619" s="588"/>
      <c r="C619" s="535"/>
      <c r="D619" s="535"/>
      <c r="E619" s="1123"/>
      <c r="F619" s="1132"/>
      <c r="G619" s="588"/>
      <c r="H619" s="1141"/>
      <c r="I619" s="455"/>
      <c r="J619" s="455"/>
    </row>
    <row r="620" spans="2:10">
      <c r="B620" s="588"/>
      <c r="C620" s="535"/>
      <c r="D620" s="535"/>
      <c r="E620" s="1123"/>
      <c r="F620" s="1132"/>
      <c r="G620" s="588"/>
      <c r="H620" s="1141"/>
      <c r="I620" s="455"/>
      <c r="J620" s="455"/>
    </row>
    <row r="621" spans="2:10">
      <c r="B621" s="588"/>
      <c r="C621" s="535"/>
      <c r="D621" s="535"/>
      <c r="E621" s="1123"/>
      <c r="F621" s="1132"/>
      <c r="G621" s="588"/>
      <c r="H621" s="1141"/>
      <c r="I621" s="455"/>
      <c r="J621" s="455"/>
    </row>
    <row r="622" spans="2:10">
      <c r="B622" s="588"/>
      <c r="C622" s="535"/>
      <c r="D622" s="535"/>
      <c r="E622" s="1123"/>
      <c r="F622" s="1132"/>
      <c r="G622" s="588"/>
      <c r="H622" s="1141"/>
      <c r="I622" s="455"/>
      <c r="J622" s="455"/>
    </row>
    <row r="640" spans="2:10" ht="16.5" customHeight="1">
      <c r="B640" s="588"/>
      <c r="C640" s="554"/>
      <c r="D640" s="554"/>
      <c r="E640" s="588"/>
      <c r="F640" s="1132"/>
      <c r="G640" s="588"/>
      <c r="H640" s="1141"/>
      <c r="I640" s="455"/>
      <c r="J640" s="455"/>
    </row>
    <row r="646" spans="2:10" ht="107.25" customHeight="1">
      <c r="B646" s="588"/>
      <c r="C646" s="554"/>
      <c r="D646" s="554"/>
      <c r="E646" s="588"/>
      <c r="F646" s="1132"/>
      <c r="G646" s="588"/>
      <c r="H646" s="1141"/>
      <c r="I646" s="455"/>
      <c r="J646" s="455"/>
    </row>
    <row r="649" spans="2:10" ht="30" customHeight="1">
      <c r="B649" s="588"/>
      <c r="C649" s="554"/>
      <c r="D649" s="554"/>
      <c r="E649" s="588"/>
      <c r="F649" s="1132"/>
      <c r="G649" s="588"/>
      <c r="H649" s="1141"/>
      <c r="I649" s="455"/>
      <c r="J649" s="455"/>
    </row>
    <row r="654" spans="2:10" ht="30" customHeight="1">
      <c r="B654" s="588"/>
      <c r="C654" s="554"/>
      <c r="D654" s="554"/>
      <c r="E654" s="588"/>
      <c r="F654" s="1132"/>
      <c r="G654" s="588"/>
      <c r="H654" s="1141"/>
      <c r="I654" s="455"/>
      <c r="J654" s="455"/>
    </row>
    <row r="665" spans="2:10" ht="15.75" customHeight="1">
      <c r="B665" s="588"/>
      <c r="C665" s="554"/>
      <c r="D665" s="554"/>
      <c r="E665" s="588"/>
      <c r="F665" s="1132"/>
      <c r="G665" s="588"/>
      <c r="H665" s="1141"/>
      <c r="I665" s="455"/>
      <c r="J665" s="455"/>
    </row>
  </sheetData>
  <sheetProtection password="CB29" sheet="1" formatCells="0" formatColumns="0" formatRows="0" insertColumns="0" insertRows="0" insertHyperlinks="0" deleteColumns="0" deleteRows="0" sort="0" autoFilter="0" pivotTables="0"/>
  <mergeCells count="34">
    <mergeCell ref="C66:F66"/>
    <mergeCell ref="B68:C68"/>
    <mergeCell ref="B60:F60"/>
    <mergeCell ref="B61:F61"/>
    <mergeCell ref="G61:H61"/>
    <mergeCell ref="B62:F62"/>
    <mergeCell ref="G62:H62"/>
    <mergeCell ref="B63:F63"/>
    <mergeCell ref="G63:H63"/>
    <mergeCell ref="B57:F57"/>
    <mergeCell ref="G57:H57"/>
    <mergeCell ref="B58:F58"/>
    <mergeCell ref="G58:H58"/>
    <mergeCell ref="B59:F59"/>
    <mergeCell ref="G59:H59"/>
    <mergeCell ref="F43:H43"/>
    <mergeCell ref="B4:F4"/>
    <mergeCell ref="B5:F5"/>
    <mergeCell ref="G5:H5"/>
    <mergeCell ref="B6:F6"/>
    <mergeCell ref="G6:H6"/>
    <mergeCell ref="B7:F7"/>
    <mergeCell ref="G7:H7"/>
    <mergeCell ref="C14:G14"/>
    <mergeCell ref="F36:H36"/>
    <mergeCell ref="F38:H38"/>
    <mergeCell ref="F40:H40"/>
    <mergeCell ref="F42:H42"/>
    <mergeCell ref="B1:F1"/>
    <mergeCell ref="G1:H1"/>
    <mergeCell ref="B2:F2"/>
    <mergeCell ref="G2:H2"/>
    <mergeCell ref="B3:F3"/>
    <mergeCell ref="G3:H3"/>
  </mergeCells>
  <conditionalFormatting sqref="H1:H1048576">
    <cfRule type="cellIs" dxfId="6" priority="1" operator="equal">
      <formula>0</formula>
    </cfRule>
  </conditionalFormatting>
  <pageMargins left="0.7" right="0.7" top="0.75" bottom="0.75" header="0.3" footer="0.3"/>
  <pageSetup paperSize="9" scale="96"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view="pageBreakPreview" topLeftCell="B85" zoomScale="130" zoomScaleNormal="100" zoomScaleSheetLayoutView="130" workbookViewId="0">
      <selection activeCell="I95" sqref="I95"/>
    </sheetView>
  </sheetViews>
  <sheetFormatPr defaultColWidth="9.140625" defaultRowHeight="12.75"/>
  <cols>
    <col min="1" max="1" width="3.5703125" style="61" hidden="1" customWidth="1"/>
    <col min="2" max="2" width="5.28515625" style="780" customWidth="1"/>
    <col min="3" max="3" width="40" style="781" customWidth="1"/>
    <col min="4" max="4" width="13.7109375" style="755" customWidth="1"/>
    <col min="5" max="5" width="8.5703125" style="773" customWidth="1"/>
    <col min="6" max="6" width="9.5703125" style="735" customWidth="1"/>
    <col min="7" max="7" width="9.85546875" style="736" customWidth="1"/>
    <col min="8" max="8" width="17.140625" style="734" hidden="1" customWidth="1"/>
    <col min="9" max="9" width="9.140625" style="734"/>
    <col min="10" max="16384" width="9.140625" style="61"/>
  </cols>
  <sheetData>
    <row r="1" spans="1:7" s="1313" customFormat="1" ht="11.25">
      <c r="A1" s="1313" t="s">
        <v>1798</v>
      </c>
    </row>
    <row r="2" spans="1:7">
      <c r="B2" s="1306" t="s">
        <v>1799</v>
      </c>
      <c r="C2" s="1306"/>
      <c r="D2" s="1306"/>
      <c r="E2" s="1306"/>
      <c r="F2" s="1307" t="s">
        <v>1405</v>
      </c>
      <c r="G2" s="1307"/>
    </row>
    <row r="3" spans="1:7">
      <c r="B3" s="1306" t="s">
        <v>1800</v>
      </c>
      <c r="C3" s="1306"/>
      <c r="D3" s="1306"/>
      <c r="E3" s="1306"/>
      <c r="F3" s="1307" t="s">
        <v>1405</v>
      </c>
      <c r="G3" s="1307"/>
    </row>
    <row r="4" spans="1:7" ht="12" customHeight="1">
      <c r="B4" s="1306" t="s">
        <v>1405</v>
      </c>
      <c r="C4" s="1306"/>
      <c r="D4" s="1306"/>
      <c r="E4" s="1306"/>
    </row>
    <row r="5" spans="1:7" ht="12" customHeight="1">
      <c r="B5" s="1300" t="s">
        <v>1405</v>
      </c>
      <c r="C5" s="1301"/>
      <c r="D5" s="1301"/>
      <c r="E5" s="1301"/>
      <c r="F5" s="1302" t="s">
        <v>1408</v>
      </c>
      <c r="G5" s="1302"/>
    </row>
    <row r="6" spans="1:7" ht="12" customHeight="1">
      <c r="B6" s="1303" t="s">
        <v>1405</v>
      </c>
      <c r="C6" s="1303"/>
      <c r="D6" s="1303"/>
      <c r="E6" s="1303"/>
      <c r="F6" s="1302" t="s">
        <v>1409</v>
      </c>
      <c r="G6" s="1302"/>
    </row>
    <row r="7" spans="1:7" ht="12" customHeight="1">
      <c r="B7" s="1304" t="s">
        <v>1801</v>
      </c>
      <c r="C7" s="1304"/>
      <c r="D7" s="1304"/>
      <c r="E7" s="1304"/>
      <c r="F7" s="1305" t="s">
        <v>1411</v>
      </c>
      <c r="G7" s="1305"/>
    </row>
    <row r="8" spans="1:7" ht="12" customHeight="1">
      <c r="B8" s="737"/>
      <c r="C8" s="738"/>
      <c r="D8" s="739"/>
      <c r="E8" s="740"/>
      <c r="F8" s="741"/>
      <c r="G8" s="742"/>
    </row>
    <row r="9" spans="1:7" ht="12" customHeight="1">
      <c r="B9" s="737"/>
      <c r="C9" s="738"/>
      <c r="D9" s="739"/>
      <c r="E9" s="740"/>
      <c r="F9" s="741"/>
      <c r="G9" s="742"/>
    </row>
    <row r="10" spans="1:7" ht="12" customHeight="1">
      <c r="B10" s="737"/>
      <c r="C10" s="738"/>
      <c r="D10" s="739"/>
      <c r="E10" s="740"/>
      <c r="F10" s="741"/>
      <c r="G10" s="742"/>
    </row>
    <row r="11" spans="1:7" ht="12" customHeight="1">
      <c r="B11" s="737"/>
      <c r="C11" s="738"/>
      <c r="D11" s="739"/>
      <c r="E11" s="740"/>
      <c r="F11" s="741"/>
      <c r="G11" s="742"/>
    </row>
    <row r="12" spans="1:7" ht="12" customHeight="1">
      <c r="B12" s="737"/>
      <c r="C12" s="738"/>
      <c r="D12" s="739"/>
      <c r="E12" s="740"/>
      <c r="F12" s="741"/>
      <c r="G12" s="742"/>
    </row>
    <row r="14" spans="1:7" ht="30" customHeight="1">
      <c r="B14" s="743"/>
      <c r="C14" s="1308" t="s">
        <v>1802</v>
      </c>
      <c r="D14" s="1308"/>
      <c r="E14" s="1308"/>
      <c r="F14" s="1308"/>
      <c r="G14" s="534"/>
    </row>
    <row r="15" spans="1:7">
      <c r="B15" s="743"/>
      <c r="C15" s="744"/>
      <c r="D15" s="745"/>
      <c r="E15" s="746"/>
      <c r="F15" s="747"/>
      <c r="G15" s="534"/>
    </row>
    <row r="16" spans="1:7">
      <c r="B16" s="743"/>
      <c r="C16" s="744"/>
      <c r="D16" s="745"/>
      <c r="E16" s="746"/>
      <c r="F16" s="747"/>
      <c r="G16" s="534"/>
    </row>
    <row r="17" spans="2:7">
      <c r="B17" s="743"/>
      <c r="C17" s="744"/>
      <c r="D17" s="745"/>
      <c r="E17" s="746"/>
      <c r="F17" s="747"/>
      <c r="G17" s="534"/>
    </row>
    <row r="18" spans="2:7">
      <c r="B18" s="743"/>
      <c r="C18" s="748"/>
      <c r="D18" s="745"/>
      <c r="E18" s="746"/>
      <c r="F18" s="747"/>
      <c r="G18" s="534"/>
    </row>
    <row r="19" spans="2:7">
      <c r="B19" s="743"/>
      <c r="C19" s="748"/>
      <c r="D19" s="745"/>
      <c r="E19" s="746"/>
      <c r="F19" s="747"/>
      <c r="G19" s="534"/>
    </row>
    <row r="20" spans="2:7">
      <c r="B20" s="743"/>
      <c r="C20" s="748"/>
      <c r="D20" s="745"/>
      <c r="E20" s="746"/>
      <c r="F20" s="747"/>
      <c r="G20" s="534"/>
    </row>
    <row r="21" spans="2:7">
      <c r="B21" s="743"/>
      <c r="C21" s="748"/>
      <c r="D21" s="745"/>
      <c r="E21" s="746"/>
      <c r="F21" s="747"/>
      <c r="G21" s="534"/>
    </row>
    <row r="22" spans="2:7">
      <c r="B22" s="743"/>
      <c r="C22" s="749"/>
      <c r="D22" s="745"/>
      <c r="E22" s="746"/>
      <c r="F22" s="747"/>
      <c r="G22" s="534"/>
    </row>
    <row r="23" spans="2:7">
      <c r="B23" s="743"/>
      <c r="C23" s="749"/>
      <c r="D23" s="745"/>
      <c r="E23" s="746"/>
      <c r="F23" s="747"/>
      <c r="G23" s="534"/>
    </row>
    <row r="24" spans="2:7">
      <c r="B24" s="743"/>
      <c r="C24" s="748"/>
      <c r="D24" s="745"/>
      <c r="E24" s="746"/>
      <c r="F24" s="747"/>
      <c r="G24" s="534"/>
    </row>
    <row r="25" spans="2:7">
      <c r="B25" s="743"/>
      <c r="C25" s="749"/>
      <c r="D25" s="745"/>
      <c r="E25" s="746"/>
      <c r="F25" s="747"/>
      <c r="G25" s="534"/>
    </row>
    <row r="26" spans="2:7">
      <c r="B26" s="743"/>
      <c r="C26" s="749"/>
      <c r="D26" s="745"/>
      <c r="E26" s="746"/>
      <c r="F26" s="747"/>
      <c r="G26" s="534"/>
    </row>
    <row r="27" spans="2:7">
      <c r="B27" s="743"/>
      <c r="C27" s="749"/>
      <c r="D27" s="745"/>
      <c r="E27" s="746"/>
      <c r="F27" s="747"/>
      <c r="G27" s="534"/>
    </row>
    <row r="28" spans="2:7">
      <c r="B28" s="743"/>
      <c r="C28" s="749"/>
      <c r="D28" s="745"/>
      <c r="E28" s="746"/>
      <c r="F28" s="747"/>
      <c r="G28" s="534"/>
    </row>
    <row r="29" spans="2:7">
      <c r="B29" s="743"/>
      <c r="C29" s="749"/>
      <c r="D29" s="745"/>
      <c r="E29" s="746"/>
      <c r="F29" s="747"/>
      <c r="G29" s="534"/>
    </row>
    <row r="30" spans="2:7">
      <c r="B30" s="743"/>
      <c r="C30" s="749"/>
      <c r="D30" s="745"/>
      <c r="E30" s="746"/>
      <c r="F30" s="747"/>
      <c r="G30" s="534"/>
    </row>
    <row r="31" spans="2:7">
      <c r="B31" s="743"/>
      <c r="C31" s="749"/>
      <c r="D31" s="745"/>
      <c r="E31" s="746"/>
      <c r="F31" s="747"/>
      <c r="G31" s="534"/>
    </row>
    <row r="32" spans="2:7">
      <c r="B32" s="743"/>
      <c r="C32" s="750" t="s">
        <v>1413</v>
      </c>
      <c r="D32" s="745"/>
      <c r="E32" s="746"/>
      <c r="F32" s="747"/>
      <c r="G32" s="534"/>
    </row>
    <row r="33" spans="2:7">
      <c r="B33" s="743"/>
      <c r="C33" s="751"/>
      <c r="D33" s="745"/>
      <c r="E33" s="746"/>
      <c r="F33" s="747"/>
      <c r="G33" s="534"/>
    </row>
    <row r="34" spans="2:7">
      <c r="B34" s="752"/>
      <c r="C34" s="751" t="s">
        <v>1414</v>
      </c>
      <c r="D34" s="745"/>
      <c r="E34" s="746"/>
      <c r="F34" s="747"/>
      <c r="G34" s="534"/>
    </row>
    <row r="35" spans="2:7">
      <c r="B35" s="743"/>
      <c r="C35" s="749"/>
      <c r="D35" s="745"/>
      <c r="E35" s="746"/>
      <c r="F35" s="747"/>
      <c r="G35" s="534"/>
    </row>
    <row r="36" spans="2:7">
      <c r="B36" s="743"/>
      <c r="C36" s="753"/>
      <c r="D36" s="754"/>
      <c r="E36" s="1309"/>
      <c r="F36" s="1310"/>
      <c r="G36" s="1310"/>
    </row>
    <row r="37" spans="2:7">
      <c r="B37" s="743"/>
      <c r="C37" s="749"/>
      <c r="D37" s="745"/>
      <c r="E37" s="746"/>
      <c r="F37" s="747"/>
      <c r="G37" s="534"/>
    </row>
    <row r="38" spans="2:7">
      <c r="B38" s="743"/>
      <c r="C38" s="753"/>
      <c r="D38" s="754"/>
      <c r="E38" s="1309"/>
      <c r="F38" s="1310"/>
      <c r="G38" s="1310"/>
    </row>
    <row r="39" spans="2:7">
      <c r="B39" s="743"/>
      <c r="C39" s="753"/>
      <c r="E39" s="746"/>
      <c r="F39" s="747"/>
      <c r="G39" s="534"/>
    </row>
    <row r="40" spans="2:7">
      <c r="B40" s="743"/>
      <c r="C40" s="753"/>
      <c r="D40" s="754"/>
      <c r="E40" s="1309"/>
      <c r="F40" s="1310"/>
      <c r="G40" s="1310"/>
    </row>
    <row r="41" spans="2:7">
      <c r="B41" s="743"/>
      <c r="C41" s="753"/>
      <c r="E41" s="746"/>
      <c r="F41" s="747"/>
      <c r="G41" s="534"/>
    </row>
    <row r="42" spans="2:7">
      <c r="B42" s="743"/>
      <c r="C42" s="753"/>
      <c r="D42" s="754"/>
      <c r="E42" s="1309"/>
      <c r="F42" s="1310"/>
      <c r="G42" s="1310"/>
    </row>
    <row r="43" spans="2:7">
      <c r="B43" s="743"/>
      <c r="C43" s="749"/>
      <c r="D43" s="745"/>
      <c r="E43" s="1311"/>
      <c r="F43" s="1312"/>
      <c r="G43" s="1312"/>
    </row>
    <row r="52" spans="1:9" ht="12" customHeight="1">
      <c r="B52" s="1306"/>
      <c r="C52" s="1306"/>
      <c r="D52" s="1306"/>
      <c r="E52" s="1306"/>
      <c r="F52" s="1307" t="s">
        <v>1405</v>
      </c>
      <c r="G52" s="1307"/>
    </row>
    <row r="53" spans="1:9" s="1313" customFormat="1" ht="12" customHeight="1">
      <c r="A53" s="1313" t="s">
        <v>1798</v>
      </c>
    </row>
    <row r="54" spans="1:9" ht="12" customHeight="1">
      <c r="B54" s="1306" t="s">
        <v>1799</v>
      </c>
      <c r="C54" s="1306"/>
      <c r="D54" s="1306"/>
      <c r="E54" s="1306"/>
      <c r="F54" s="1307" t="s">
        <v>1405</v>
      </c>
      <c r="G54" s="1307"/>
    </row>
    <row r="55" spans="1:9" ht="12" customHeight="1">
      <c r="B55" s="1306" t="s">
        <v>1800</v>
      </c>
      <c r="C55" s="1306"/>
      <c r="D55" s="1306"/>
      <c r="E55" s="1306"/>
      <c r="F55" s="1307" t="s">
        <v>1405</v>
      </c>
      <c r="G55" s="1307"/>
    </row>
    <row r="56" spans="1:9" ht="12" customHeight="1">
      <c r="B56" s="1300" t="s">
        <v>1405</v>
      </c>
      <c r="C56" s="1301"/>
      <c r="D56" s="1301"/>
      <c r="E56" s="1301"/>
      <c r="F56" s="1302" t="s">
        <v>1408</v>
      </c>
      <c r="G56" s="1302"/>
    </row>
    <row r="57" spans="1:9" ht="12" customHeight="1">
      <c r="B57" s="1303" t="s">
        <v>1405</v>
      </c>
      <c r="C57" s="1303"/>
      <c r="D57" s="1303"/>
      <c r="E57" s="1303"/>
      <c r="F57" s="1302" t="s">
        <v>1409</v>
      </c>
      <c r="G57" s="1302"/>
    </row>
    <row r="58" spans="1:9" ht="12" customHeight="1">
      <c r="B58" s="1304" t="s">
        <v>1801</v>
      </c>
      <c r="C58" s="1304"/>
      <c r="D58" s="1304"/>
      <c r="E58" s="1304"/>
      <c r="F58" s="1305" t="s">
        <v>1411</v>
      </c>
      <c r="G58" s="1305"/>
    </row>
    <row r="59" spans="1:9" ht="24">
      <c r="B59" s="756" t="s">
        <v>1415</v>
      </c>
      <c r="C59" s="757" t="s">
        <v>1416</v>
      </c>
      <c r="D59" s="757" t="s">
        <v>1841</v>
      </c>
      <c r="E59" s="758" t="s">
        <v>1417</v>
      </c>
      <c r="F59" s="759" t="s">
        <v>1418</v>
      </c>
      <c r="G59" s="760" t="s">
        <v>1803</v>
      </c>
      <c r="H59" s="761" t="s">
        <v>1420</v>
      </c>
      <c r="I59" s="1243" t="s">
        <v>1420</v>
      </c>
    </row>
    <row r="60" spans="1:9">
      <c r="B60" s="496"/>
      <c r="C60" s="762" t="s">
        <v>1804</v>
      </c>
      <c r="D60" s="762"/>
      <c r="E60" s="763"/>
      <c r="F60" s="746"/>
      <c r="G60" s="1244"/>
      <c r="H60" s="534"/>
    </row>
    <row r="61" spans="1:9">
      <c r="B61" s="496"/>
      <c r="C61" s="764"/>
      <c r="D61" s="1253"/>
      <c r="E61" s="763"/>
      <c r="F61" s="746"/>
      <c r="G61" s="1244"/>
      <c r="H61" s="534"/>
    </row>
    <row r="62" spans="1:9" ht="171" customHeight="1">
      <c r="B62" s="485">
        <v>1</v>
      </c>
      <c r="C62" s="765" t="s">
        <v>1805</v>
      </c>
      <c r="D62" s="1161"/>
      <c r="E62" s="491"/>
      <c r="F62" s="766"/>
      <c r="G62" s="1245"/>
      <c r="H62" s="1239"/>
      <c r="I62" s="1240"/>
    </row>
    <row r="63" spans="1:9">
      <c r="B63" s="485"/>
      <c r="C63" s="767" t="s">
        <v>1806</v>
      </c>
      <c r="D63" s="1156"/>
      <c r="E63" s="768" t="s">
        <v>21</v>
      </c>
      <c r="F63" s="769">
        <v>1</v>
      </c>
      <c r="G63" s="1244"/>
      <c r="H63" s="770"/>
      <c r="I63" s="1240">
        <f>F63*G63</f>
        <v>0</v>
      </c>
    </row>
    <row r="64" spans="1:9" ht="35.25" customHeight="1">
      <c r="B64" s="485"/>
      <c r="C64" s="771" t="s">
        <v>1431</v>
      </c>
      <c r="D64" s="1144"/>
      <c r="E64" s="768" t="s">
        <v>1405</v>
      </c>
      <c r="F64" s="769" t="s">
        <v>1405</v>
      </c>
      <c r="G64" s="1246"/>
      <c r="H64" s="1239"/>
      <c r="I64" s="1240"/>
    </row>
    <row r="65" spans="2:9">
      <c r="B65" s="485"/>
      <c r="C65" s="772"/>
      <c r="D65" s="1144"/>
      <c r="E65" s="768"/>
      <c r="F65" s="769"/>
      <c r="G65" s="1246"/>
      <c r="H65" s="1239"/>
      <c r="I65" s="1240"/>
    </row>
    <row r="66" spans="2:9" ht="24">
      <c r="B66" s="485">
        <v>2</v>
      </c>
      <c r="C66" s="772" t="s">
        <v>1807</v>
      </c>
      <c r="D66" s="1144"/>
      <c r="E66" s="768"/>
      <c r="F66" s="769"/>
      <c r="G66" s="1246"/>
      <c r="H66" s="1239"/>
      <c r="I66" s="1240"/>
    </row>
    <row r="67" spans="2:9">
      <c r="B67" s="485"/>
      <c r="C67" s="767" t="s">
        <v>1806</v>
      </c>
      <c r="D67" s="1156"/>
      <c r="E67" s="768" t="s">
        <v>11</v>
      </c>
      <c r="F67" s="769">
        <v>2</v>
      </c>
      <c r="G67" s="1244"/>
      <c r="H67" s="770"/>
      <c r="I67" s="1240">
        <f>F67*G67</f>
        <v>0</v>
      </c>
    </row>
    <row r="68" spans="2:9" ht="42.75" customHeight="1">
      <c r="B68" s="485"/>
      <c r="C68" s="771" t="s">
        <v>1431</v>
      </c>
      <c r="D68" s="1144"/>
      <c r="E68" s="768"/>
      <c r="F68" s="769"/>
      <c r="G68" s="1246"/>
      <c r="H68" s="1239"/>
      <c r="I68" s="1240"/>
    </row>
    <row r="69" spans="2:9">
      <c r="B69" s="485"/>
      <c r="C69" s="765"/>
      <c r="D69" s="1161"/>
      <c r="E69" s="768"/>
      <c r="F69" s="769"/>
      <c r="G69" s="1246"/>
      <c r="H69" s="1239"/>
      <c r="I69" s="1240"/>
    </row>
    <row r="70" spans="2:9" ht="133.5" customHeight="1">
      <c r="B70" s="485">
        <v>3</v>
      </c>
      <c r="C70" s="765" t="s">
        <v>1808</v>
      </c>
      <c r="D70" s="1161"/>
      <c r="E70" s="768"/>
      <c r="F70" s="769"/>
      <c r="G70" s="1246"/>
      <c r="H70" s="1239"/>
      <c r="I70" s="1240"/>
    </row>
    <row r="71" spans="2:9">
      <c r="B71" s="485"/>
      <c r="C71" s="767" t="s">
        <v>1809</v>
      </c>
      <c r="D71" s="1156"/>
      <c r="E71" s="768" t="s">
        <v>21</v>
      </c>
      <c r="F71" s="769">
        <v>1</v>
      </c>
      <c r="G71" s="1244"/>
      <c r="H71" s="770"/>
      <c r="I71" s="1240">
        <f>F71*G71</f>
        <v>0</v>
      </c>
    </row>
    <row r="72" spans="2:9" ht="45" customHeight="1">
      <c r="B72" s="485"/>
      <c r="C72" s="771" t="s">
        <v>1431</v>
      </c>
      <c r="D72" s="1144"/>
      <c r="E72" s="768"/>
      <c r="F72" s="769"/>
      <c r="G72" s="1245"/>
      <c r="H72" s="1239"/>
      <c r="I72" s="1240"/>
    </row>
    <row r="73" spans="2:9">
      <c r="B73" s="485"/>
      <c r="C73" s="765"/>
      <c r="D73" s="1161"/>
      <c r="E73" s="768"/>
      <c r="F73" s="769"/>
      <c r="G73" s="1245"/>
      <c r="H73" s="1239"/>
      <c r="I73" s="1240"/>
    </row>
    <row r="74" spans="2:9" ht="28.5" customHeight="1">
      <c r="B74" s="485">
        <v>4</v>
      </c>
      <c r="C74" s="765" t="s">
        <v>1810</v>
      </c>
      <c r="D74" s="1161"/>
      <c r="E74" s="755"/>
      <c r="F74" s="773"/>
      <c r="G74" s="1245"/>
      <c r="H74" s="1239"/>
      <c r="I74" s="1240"/>
    </row>
    <row r="75" spans="2:9">
      <c r="B75" s="485"/>
      <c r="C75" s="767" t="s">
        <v>1811</v>
      </c>
      <c r="D75" s="1156"/>
      <c r="E75" s="768" t="s">
        <v>11</v>
      </c>
      <c r="F75" s="769">
        <v>27</v>
      </c>
      <c r="G75" s="1244"/>
      <c r="H75" s="770"/>
      <c r="I75" s="1240">
        <f>F75*G75</f>
        <v>0</v>
      </c>
    </row>
    <row r="76" spans="2:9" ht="27.75" customHeight="1">
      <c r="B76" s="774"/>
      <c r="C76" s="771" t="s">
        <v>1431</v>
      </c>
      <c r="D76" s="1144"/>
      <c r="E76" s="775"/>
      <c r="F76" s="776"/>
      <c r="G76" s="1246"/>
      <c r="H76" s="1239"/>
      <c r="I76" s="1240"/>
    </row>
    <row r="77" spans="2:9">
      <c r="B77" s="485"/>
      <c r="C77" s="765"/>
      <c r="D77" s="1161"/>
      <c r="E77" s="768"/>
      <c r="F77" s="769"/>
      <c r="G77" s="1246"/>
      <c r="H77" s="1239"/>
      <c r="I77" s="1240"/>
    </row>
    <row r="78" spans="2:9" ht="26.25" customHeight="1">
      <c r="B78" s="485">
        <v>5</v>
      </c>
      <c r="C78" s="765" t="s">
        <v>1812</v>
      </c>
      <c r="D78" s="1161"/>
      <c r="E78" s="768"/>
      <c r="F78" s="773"/>
      <c r="G78" s="1246"/>
      <c r="H78" s="1239"/>
      <c r="I78" s="1240"/>
    </row>
    <row r="79" spans="2:9">
      <c r="B79" s="485"/>
      <c r="C79" s="767" t="s">
        <v>1811</v>
      </c>
      <c r="D79" s="1156"/>
      <c r="E79" s="768" t="s">
        <v>11</v>
      </c>
      <c r="F79" s="769">
        <v>4</v>
      </c>
      <c r="G79" s="1244"/>
      <c r="H79" s="770"/>
      <c r="I79" s="1240">
        <f>F79*G79</f>
        <v>0</v>
      </c>
    </row>
    <row r="80" spans="2:9" ht="39" customHeight="1">
      <c r="B80" s="485"/>
      <c r="C80" s="771" t="s">
        <v>1431</v>
      </c>
      <c r="D80" s="1144"/>
      <c r="E80" s="768" t="s">
        <v>1405</v>
      </c>
      <c r="F80" s="769" t="s">
        <v>1405</v>
      </c>
      <c r="G80" s="1246"/>
      <c r="H80" s="1239"/>
      <c r="I80" s="1240"/>
    </row>
    <row r="81" spans="2:9">
      <c r="B81" s="485"/>
      <c r="C81" s="765"/>
      <c r="D81" s="1161"/>
      <c r="E81" s="768"/>
      <c r="F81" s="769"/>
      <c r="G81" s="1246"/>
      <c r="H81" s="1239"/>
      <c r="I81" s="1240"/>
    </row>
    <row r="82" spans="2:9" ht="37.5" customHeight="1">
      <c r="B82" s="485">
        <v>6</v>
      </c>
      <c r="C82" s="765" t="s">
        <v>1813</v>
      </c>
      <c r="D82" s="1161"/>
      <c r="E82" s="768"/>
      <c r="F82" s="769"/>
      <c r="G82" s="1246"/>
      <c r="H82" s="1239"/>
      <c r="I82" s="1240"/>
    </row>
    <row r="83" spans="2:9">
      <c r="B83" s="485"/>
      <c r="C83" s="767" t="s">
        <v>1811</v>
      </c>
      <c r="D83" s="1156"/>
      <c r="E83" s="768" t="s">
        <v>11</v>
      </c>
      <c r="F83" s="769">
        <v>8</v>
      </c>
      <c r="G83" s="1244"/>
      <c r="H83" s="770"/>
      <c r="I83" s="1240">
        <f>F83*G83</f>
        <v>0</v>
      </c>
    </row>
    <row r="84" spans="2:9" ht="40.5" customHeight="1">
      <c r="B84" s="485"/>
      <c r="C84" s="771" t="s">
        <v>1431</v>
      </c>
      <c r="D84" s="1144"/>
      <c r="E84" s="768"/>
      <c r="F84" s="769"/>
      <c r="G84" s="1246"/>
      <c r="H84" s="1239"/>
      <c r="I84" s="1240"/>
    </row>
    <row r="85" spans="2:9">
      <c r="B85" s="485"/>
      <c r="C85" s="765"/>
      <c r="D85" s="1161"/>
      <c r="E85" s="768"/>
      <c r="F85" s="769"/>
      <c r="G85" s="1246"/>
      <c r="H85" s="1239"/>
      <c r="I85" s="1240"/>
    </row>
    <row r="86" spans="2:9" ht="29.25" customHeight="1">
      <c r="B86" s="485">
        <v>7</v>
      </c>
      <c r="C86" s="765" t="s">
        <v>1814</v>
      </c>
      <c r="D86" s="1161"/>
      <c r="E86" s="768"/>
      <c r="F86" s="769"/>
      <c r="G86" s="1246"/>
      <c r="H86" s="1239"/>
      <c r="I86" s="1240"/>
    </row>
    <row r="87" spans="2:9">
      <c r="B87" s="485"/>
      <c r="C87" s="767" t="s">
        <v>1811</v>
      </c>
      <c r="D87" s="1156"/>
      <c r="E87" s="768" t="s">
        <v>11</v>
      </c>
      <c r="F87" s="769">
        <v>8</v>
      </c>
      <c r="G87" s="1244"/>
      <c r="H87" s="770"/>
      <c r="I87" s="1240">
        <f>F87*G87</f>
        <v>0</v>
      </c>
    </row>
    <row r="88" spans="2:9" ht="39" customHeight="1">
      <c r="B88" s="485"/>
      <c r="C88" s="771" t="s">
        <v>1431</v>
      </c>
      <c r="D88" s="1144"/>
      <c r="E88" s="768"/>
      <c r="F88" s="769"/>
      <c r="G88" s="1246"/>
      <c r="H88" s="1239"/>
      <c r="I88" s="1240"/>
    </row>
    <row r="89" spans="2:9">
      <c r="B89" s="485"/>
      <c r="C89" s="765"/>
      <c r="D89" s="1161"/>
      <c r="E89" s="768"/>
      <c r="F89" s="769"/>
      <c r="G89" s="1246"/>
      <c r="H89" s="1239"/>
      <c r="I89" s="1240"/>
    </row>
    <row r="90" spans="2:9" ht="28.5" customHeight="1">
      <c r="B90" s="485">
        <v>8</v>
      </c>
      <c r="C90" s="765" t="s">
        <v>1815</v>
      </c>
      <c r="D90" s="1161"/>
      <c r="E90" s="768"/>
      <c r="F90" s="769"/>
      <c r="G90" s="1246"/>
      <c r="H90" s="1239"/>
      <c r="I90" s="1240"/>
    </row>
    <row r="91" spans="2:9">
      <c r="B91" s="485"/>
      <c r="C91" s="767" t="s">
        <v>1811</v>
      </c>
      <c r="D91" s="1156"/>
      <c r="E91" s="768" t="s">
        <v>11</v>
      </c>
      <c r="F91" s="769">
        <v>31</v>
      </c>
      <c r="G91" s="1244"/>
      <c r="H91" s="770"/>
      <c r="I91" s="1240">
        <f>F91*G91</f>
        <v>0</v>
      </c>
    </row>
    <row r="92" spans="2:9" ht="33" customHeight="1">
      <c r="B92" s="485"/>
      <c r="C92" s="771" t="s">
        <v>1431</v>
      </c>
      <c r="D92" s="1144"/>
      <c r="E92" s="768"/>
      <c r="F92" s="769"/>
      <c r="G92" s="1246"/>
      <c r="H92" s="1239"/>
      <c r="I92" s="1240"/>
    </row>
    <row r="93" spans="2:9">
      <c r="B93" s="485"/>
      <c r="C93" s="765"/>
      <c r="D93" s="1161"/>
      <c r="E93" s="768"/>
      <c r="F93" s="769"/>
      <c r="G93" s="1246"/>
      <c r="H93" s="1239"/>
      <c r="I93" s="1240"/>
    </row>
    <row r="94" spans="2:9" ht="24">
      <c r="B94" s="485">
        <v>9</v>
      </c>
      <c r="C94" s="765" t="s">
        <v>1816</v>
      </c>
      <c r="D94" s="1161"/>
      <c r="E94" s="768"/>
      <c r="F94" s="769"/>
      <c r="G94" s="1246"/>
      <c r="H94" s="1239"/>
      <c r="I94" s="1240"/>
    </row>
    <row r="95" spans="2:9">
      <c r="B95" s="485"/>
      <c r="C95" s="767" t="s">
        <v>1811</v>
      </c>
      <c r="D95" s="1156"/>
      <c r="E95" s="768" t="s">
        <v>11</v>
      </c>
      <c r="F95" s="769">
        <v>9</v>
      </c>
      <c r="G95" s="1244"/>
      <c r="H95" s="770"/>
      <c r="I95" s="1240">
        <f>F95*G95</f>
        <v>0</v>
      </c>
    </row>
    <row r="96" spans="2:9" ht="37.5" customHeight="1">
      <c r="B96" s="485"/>
      <c r="C96" s="771" t="s">
        <v>1431</v>
      </c>
      <c r="D96" s="1144"/>
      <c r="E96" s="768" t="s">
        <v>1405</v>
      </c>
      <c r="F96" s="769"/>
      <c r="G96" s="1246"/>
      <c r="H96" s="1239"/>
      <c r="I96" s="1240"/>
    </row>
    <row r="97" spans="2:9">
      <c r="B97" s="485"/>
      <c r="C97" s="765"/>
      <c r="D97" s="1161"/>
      <c r="E97" s="768"/>
      <c r="F97" s="769"/>
      <c r="G97" s="1246"/>
      <c r="H97" s="1239"/>
      <c r="I97" s="1240"/>
    </row>
    <row r="98" spans="2:9" ht="36">
      <c r="B98" s="485">
        <v>10</v>
      </c>
      <c r="C98" s="765" t="s">
        <v>1817</v>
      </c>
      <c r="D98" s="1161"/>
      <c r="E98" s="1299" t="s">
        <v>11</v>
      </c>
      <c r="F98" s="769" t="s">
        <v>1405</v>
      </c>
      <c r="G98" s="1246"/>
      <c r="H98" s="1239"/>
      <c r="I98" s="1240"/>
    </row>
    <row r="99" spans="2:9">
      <c r="B99" s="485"/>
      <c r="C99" s="767" t="s">
        <v>1811</v>
      </c>
      <c r="D99" s="1156"/>
      <c r="E99" s="1299"/>
      <c r="F99" s="769">
        <v>3</v>
      </c>
      <c r="G99" s="1244"/>
      <c r="H99" s="770"/>
      <c r="I99" s="1240">
        <f>F99*G99</f>
        <v>0</v>
      </c>
    </row>
    <row r="100" spans="2:9" ht="37.5" customHeight="1">
      <c r="B100" s="485"/>
      <c r="C100" s="771" t="s">
        <v>1431</v>
      </c>
      <c r="D100" s="1144"/>
      <c r="E100" s="768"/>
      <c r="F100" s="769"/>
      <c r="G100" s="1246"/>
      <c r="H100" s="1239"/>
      <c r="I100" s="1240"/>
    </row>
    <row r="101" spans="2:9">
      <c r="B101" s="485"/>
      <c r="C101" s="765"/>
      <c r="D101" s="1161"/>
      <c r="E101" s="768"/>
      <c r="F101" s="769"/>
      <c r="G101" s="1246"/>
      <c r="H101" s="1239"/>
      <c r="I101" s="1240"/>
    </row>
    <row r="102" spans="2:9" ht="36">
      <c r="B102" s="485">
        <v>11</v>
      </c>
      <c r="C102" s="765" t="s">
        <v>1818</v>
      </c>
      <c r="D102" s="1161"/>
      <c r="E102" s="1299" t="s">
        <v>11</v>
      </c>
      <c r="F102" s="769"/>
      <c r="G102" s="1246"/>
      <c r="H102" s="1239"/>
      <c r="I102" s="1240"/>
    </row>
    <row r="103" spans="2:9">
      <c r="B103" s="485"/>
      <c r="C103" s="767" t="s">
        <v>1811</v>
      </c>
      <c r="D103" s="1156"/>
      <c r="E103" s="1299"/>
      <c r="F103" s="769">
        <v>2</v>
      </c>
      <c r="G103" s="1244"/>
      <c r="H103" s="770"/>
      <c r="I103" s="1240">
        <f>F103*G103</f>
        <v>0</v>
      </c>
    </row>
    <row r="104" spans="2:9" ht="33" customHeight="1">
      <c r="B104" s="485"/>
      <c r="C104" s="771" t="s">
        <v>1431</v>
      </c>
      <c r="D104" s="1144"/>
      <c r="E104" s="768"/>
      <c r="F104" s="769"/>
      <c r="G104" s="1246"/>
      <c r="H104" s="1239"/>
      <c r="I104" s="1240"/>
    </row>
    <row r="105" spans="2:9">
      <c r="B105" s="485"/>
      <c r="C105" s="765"/>
      <c r="D105" s="1161"/>
      <c r="E105" s="768"/>
      <c r="F105" s="769"/>
      <c r="G105" s="1246"/>
      <c r="H105" s="1239"/>
      <c r="I105" s="1240"/>
    </row>
    <row r="106" spans="2:9" ht="24">
      <c r="B106" s="485">
        <v>12</v>
      </c>
      <c r="C106" s="765" t="s">
        <v>1819</v>
      </c>
      <c r="D106" s="1161"/>
      <c r="E106" s="768"/>
      <c r="F106" s="769"/>
      <c r="G106" s="1246"/>
      <c r="H106" s="1239"/>
      <c r="I106" s="1240"/>
    </row>
    <row r="107" spans="2:9">
      <c r="B107" s="485"/>
      <c r="C107" s="767" t="s">
        <v>1811</v>
      </c>
      <c r="D107" s="1156"/>
      <c r="E107" s="768" t="s">
        <v>11</v>
      </c>
      <c r="F107" s="769">
        <v>2</v>
      </c>
      <c r="G107" s="1244"/>
      <c r="H107" s="770"/>
      <c r="I107" s="1240">
        <f>F107*G107</f>
        <v>0</v>
      </c>
    </row>
    <row r="108" spans="2:9" ht="32.25" customHeight="1">
      <c r="B108" s="485"/>
      <c r="C108" s="771" t="s">
        <v>1431</v>
      </c>
      <c r="D108" s="1144"/>
      <c r="E108" s="777"/>
      <c r="F108" s="765"/>
      <c r="G108" s="1246"/>
      <c r="H108" s="1239"/>
      <c r="I108" s="1240"/>
    </row>
    <row r="109" spans="2:9" ht="13.5" customHeight="1">
      <c r="B109" s="485"/>
      <c r="C109" s="772"/>
      <c r="D109" s="1144"/>
      <c r="E109" s="777"/>
      <c r="F109" s="765"/>
      <c r="G109" s="1246"/>
      <c r="H109" s="1239"/>
      <c r="I109" s="1240"/>
    </row>
    <row r="110" spans="2:9" ht="43.5" customHeight="1">
      <c r="B110" s="485">
        <v>13</v>
      </c>
      <c r="C110" s="765" t="s">
        <v>1820</v>
      </c>
      <c r="D110" s="1161"/>
      <c r="E110" s="778"/>
      <c r="F110" s="779"/>
      <c r="G110" s="1246"/>
      <c r="H110" s="1239"/>
      <c r="I110" s="1240"/>
    </row>
    <row r="111" spans="2:9" ht="17.25" customHeight="1">
      <c r="B111" s="485"/>
      <c r="C111" s="765" t="s">
        <v>1811</v>
      </c>
      <c r="D111" s="1161"/>
      <c r="E111" s="778" t="s">
        <v>11</v>
      </c>
      <c r="F111" s="768">
        <v>1</v>
      </c>
      <c r="G111" s="1244"/>
      <c r="H111" s="770"/>
      <c r="I111" s="1240">
        <f>F111*G111</f>
        <v>0</v>
      </c>
    </row>
    <row r="112" spans="2:9" ht="34.5" customHeight="1">
      <c r="B112" s="485"/>
      <c r="C112" s="771" t="s">
        <v>1431</v>
      </c>
      <c r="D112" s="1144"/>
      <c r="E112" s="778"/>
      <c r="F112" s="768"/>
      <c r="G112" s="1246"/>
      <c r="H112" s="1239"/>
      <c r="I112" s="1240"/>
    </row>
    <row r="113" spans="2:9">
      <c r="B113" s="485"/>
      <c r="C113" s="765"/>
      <c r="D113" s="1161"/>
      <c r="E113" s="768"/>
      <c r="F113" s="769"/>
      <c r="G113" s="1246"/>
      <c r="H113" s="1239"/>
      <c r="I113" s="1240"/>
    </row>
    <row r="114" spans="2:9" ht="72">
      <c r="B114" s="485">
        <v>14</v>
      </c>
      <c r="C114" s="765" t="s">
        <v>1821</v>
      </c>
      <c r="D114" s="1161"/>
      <c r="E114" s="1299" t="s">
        <v>11</v>
      </c>
      <c r="F114" s="769"/>
      <c r="G114" s="1246"/>
      <c r="H114" s="1239"/>
      <c r="I114" s="1240"/>
    </row>
    <row r="115" spans="2:9">
      <c r="B115" s="485"/>
      <c r="C115" s="767" t="s">
        <v>1822</v>
      </c>
      <c r="D115" s="1156"/>
      <c r="E115" s="1299"/>
      <c r="F115" s="769">
        <v>1</v>
      </c>
      <c r="G115" s="1244"/>
      <c r="H115" s="770"/>
      <c r="I115" s="1240">
        <f>F115*G115</f>
        <v>0</v>
      </c>
    </row>
    <row r="116" spans="2:9" ht="48.75" customHeight="1">
      <c r="B116" s="485"/>
      <c r="C116" s="771" t="s">
        <v>1431</v>
      </c>
      <c r="D116" s="1144"/>
      <c r="E116" s="768"/>
      <c r="F116" s="769"/>
      <c r="G116" s="1246"/>
      <c r="H116" s="1239"/>
      <c r="I116" s="1240"/>
    </row>
    <row r="117" spans="2:9">
      <c r="B117" s="485"/>
      <c r="C117" s="765"/>
      <c r="D117" s="1161"/>
      <c r="E117" s="768"/>
      <c r="F117" s="769"/>
      <c r="G117" s="1246"/>
      <c r="H117" s="1239"/>
      <c r="I117" s="1240"/>
    </row>
    <row r="118" spans="2:9" ht="60">
      <c r="B118" s="485">
        <v>15</v>
      </c>
      <c r="C118" s="765" t="s">
        <v>1823</v>
      </c>
      <c r="D118" s="1161"/>
      <c r="E118" s="1299" t="s">
        <v>514</v>
      </c>
      <c r="F118" s="769"/>
      <c r="G118" s="1246"/>
      <c r="H118" s="1239"/>
      <c r="I118" s="1240"/>
    </row>
    <row r="119" spans="2:9">
      <c r="B119" s="485"/>
      <c r="C119" s="767" t="s">
        <v>1822</v>
      </c>
      <c r="D119" s="1156"/>
      <c r="E119" s="1299"/>
      <c r="F119" s="769">
        <v>680</v>
      </c>
      <c r="G119" s="1244"/>
      <c r="H119" s="770"/>
      <c r="I119" s="1240">
        <f>F119*G119</f>
        <v>0</v>
      </c>
    </row>
    <row r="120" spans="2:9" ht="40.5" customHeight="1">
      <c r="B120" s="485"/>
      <c r="C120" s="771" t="s">
        <v>1431</v>
      </c>
      <c r="D120" s="1144"/>
      <c r="E120" s="768"/>
      <c r="F120" s="769"/>
      <c r="G120" s="1246"/>
      <c r="H120" s="1239"/>
      <c r="I120" s="1240"/>
    </row>
    <row r="121" spans="2:9">
      <c r="B121" s="485"/>
      <c r="C121" s="765"/>
      <c r="D121" s="1161"/>
      <c r="E121" s="768"/>
      <c r="F121" s="769"/>
      <c r="G121" s="1246"/>
      <c r="H121" s="1239"/>
      <c r="I121" s="1240"/>
    </row>
    <row r="122" spans="2:9" ht="26.25" customHeight="1">
      <c r="B122" s="485">
        <v>16</v>
      </c>
      <c r="C122" s="765" t="s">
        <v>1824</v>
      </c>
      <c r="D122" s="1161"/>
      <c r="E122" s="768" t="s">
        <v>21</v>
      </c>
      <c r="F122" s="769">
        <v>1</v>
      </c>
      <c r="G122" s="1244"/>
      <c r="H122" s="770"/>
      <c r="I122" s="1240">
        <f>F122*G122</f>
        <v>0</v>
      </c>
    </row>
    <row r="123" spans="2:9">
      <c r="B123" s="485"/>
      <c r="C123" s="772"/>
      <c r="D123" s="1144"/>
      <c r="E123" s="768"/>
      <c r="F123" s="769"/>
      <c r="G123" s="1246"/>
      <c r="H123" s="1239"/>
      <c r="I123" s="1240"/>
    </row>
    <row r="124" spans="2:9" ht="24">
      <c r="B124" s="485">
        <v>17</v>
      </c>
      <c r="C124" s="772" t="s">
        <v>1825</v>
      </c>
      <c r="D124" s="1144"/>
      <c r="E124" s="768" t="s">
        <v>21</v>
      </c>
      <c r="F124" s="769">
        <v>1</v>
      </c>
      <c r="G124" s="1244"/>
      <c r="H124" s="770"/>
      <c r="I124" s="1240">
        <f>F124*G124</f>
        <v>0</v>
      </c>
    </row>
    <row r="125" spans="2:9">
      <c r="B125" s="485"/>
      <c r="C125" s="772"/>
      <c r="D125" s="1144"/>
      <c r="E125" s="768"/>
      <c r="F125" s="769"/>
      <c r="G125" s="1246"/>
      <c r="H125" s="1239"/>
      <c r="I125" s="1240"/>
    </row>
    <row r="126" spans="2:9">
      <c r="B126" s="485">
        <v>18</v>
      </c>
      <c r="C126" s="772" t="s">
        <v>1826</v>
      </c>
      <c r="D126" s="1144"/>
      <c r="E126" s="768" t="s">
        <v>21</v>
      </c>
      <c r="F126" s="769">
        <v>1</v>
      </c>
      <c r="G126" s="1244"/>
      <c r="H126" s="770"/>
      <c r="I126" s="1240">
        <f>F126*G126</f>
        <v>0</v>
      </c>
    </row>
    <row r="127" spans="2:9" ht="13.5" customHeight="1">
      <c r="B127" s="485"/>
      <c r="C127" s="765"/>
      <c r="D127" s="1161"/>
      <c r="E127" s="768"/>
      <c r="F127" s="769"/>
      <c r="G127" s="1246"/>
      <c r="H127" s="1239"/>
      <c r="I127" s="1240"/>
    </row>
    <row r="128" spans="2:9">
      <c r="B128" s="1247"/>
      <c r="C128" s="1248" t="s">
        <v>1827</v>
      </c>
      <c r="D128" s="1199"/>
      <c r="E128" s="1248" t="s">
        <v>1405</v>
      </c>
      <c r="F128" s="1249"/>
      <c r="G128" s="1250"/>
      <c r="H128" s="1251"/>
      <c r="I128" s="1252">
        <f>SUM(I62:I127)</f>
        <v>0</v>
      </c>
    </row>
    <row r="129" spans="2:9">
      <c r="D129" s="1170"/>
      <c r="E129" s="755"/>
      <c r="F129" s="773"/>
      <c r="G129" s="1244"/>
      <c r="H129" s="736"/>
      <c r="I129" s="1239"/>
    </row>
    <row r="130" spans="2:9">
      <c r="B130" s="772"/>
      <c r="C130" s="762"/>
      <c r="D130" s="1241"/>
      <c r="E130" s="762"/>
      <c r="F130" s="773"/>
      <c r="G130" s="1244"/>
      <c r="H130" s="736"/>
      <c r="I130" s="1239"/>
    </row>
    <row r="131" spans="2:9">
      <c r="B131" s="485"/>
      <c r="C131" s="765"/>
      <c r="D131" s="1161"/>
      <c r="E131" s="782"/>
      <c r="F131" s="773"/>
      <c r="G131" s="1244"/>
      <c r="H131" s="736"/>
      <c r="I131" s="1239"/>
    </row>
    <row r="132" spans="2:9">
      <c r="B132" s="485"/>
      <c r="C132" s="765"/>
      <c r="D132" s="1161"/>
      <c r="E132" s="782"/>
      <c r="F132" s="773"/>
      <c r="G132" s="1244"/>
      <c r="H132" s="736"/>
      <c r="I132" s="1239"/>
    </row>
    <row r="133" spans="2:9">
      <c r="B133" s="485"/>
      <c r="C133" s="765"/>
      <c r="D133" s="1242"/>
      <c r="H133" s="1239"/>
      <c r="I133" s="1239"/>
    </row>
    <row r="134" spans="2:9">
      <c r="B134" s="485"/>
      <c r="C134" s="765"/>
      <c r="D134" s="1242"/>
      <c r="H134" s="1239"/>
      <c r="I134" s="1239"/>
    </row>
    <row r="135" spans="2:9">
      <c r="B135" s="485"/>
      <c r="C135" s="765"/>
      <c r="D135" s="1242"/>
      <c r="H135" s="1239"/>
      <c r="I135" s="1239"/>
    </row>
    <row r="136" spans="2:9">
      <c r="B136" s="485"/>
      <c r="C136" s="765"/>
      <c r="D136" s="1242"/>
      <c r="H136" s="1239"/>
      <c r="I136" s="1239"/>
    </row>
    <row r="137" spans="2:9">
      <c r="B137" s="485"/>
      <c r="C137" s="765"/>
      <c r="D137" s="1242"/>
      <c r="H137" s="1239"/>
      <c r="I137" s="1239"/>
    </row>
    <row r="138" spans="2:9" ht="13.5" customHeight="1">
      <c r="B138" s="485"/>
      <c r="C138" s="765"/>
      <c r="D138" s="1242"/>
      <c r="H138" s="1239"/>
      <c r="I138" s="1239"/>
    </row>
    <row r="139" spans="2:9">
      <c r="B139" s="485"/>
      <c r="C139" s="765"/>
      <c r="D139" s="1242"/>
      <c r="H139" s="1239"/>
      <c r="I139" s="1239"/>
    </row>
    <row r="140" spans="2:9">
      <c r="B140" s="485"/>
      <c r="C140" s="765"/>
      <c r="D140" s="1242"/>
      <c r="H140" s="1239"/>
      <c r="I140" s="1239"/>
    </row>
    <row r="141" spans="2:9">
      <c r="B141" s="485"/>
      <c r="C141" s="765"/>
      <c r="D141" s="1242"/>
      <c r="H141" s="1239"/>
      <c r="I141" s="1239"/>
    </row>
    <row r="142" spans="2:9">
      <c r="B142" s="485"/>
      <c r="C142" s="765"/>
      <c r="D142" s="1242"/>
      <c r="H142" s="1239"/>
      <c r="I142" s="1239"/>
    </row>
    <row r="143" spans="2:9">
      <c r="B143" s="485"/>
      <c r="C143" s="765"/>
      <c r="D143" s="1242"/>
      <c r="H143" s="1239"/>
      <c r="I143" s="1239"/>
    </row>
    <row r="144" spans="2:9">
      <c r="B144" s="485"/>
      <c r="C144" s="765"/>
      <c r="D144" s="1242"/>
      <c r="H144" s="1239"/>
      <c r="I144" s="1239"/>
    </row>
    <row r="145" spans="2:9">
      <c r="B145" s="485"/>
      <c r="C145" s="765"/>
      <c r="D145" s="782"/>
      <c r="H145" s="1239"/>
      <c r="I145" s="1239"/>
    </row>
    <row r="146" spans="2:9">
      <c r="B146" s="485"/>
      <c r="C146" s="765"/>
      <c r="D146" s="782"/>
      <c r="H146" s="1239"/>
      <c r="I146" s="1239"/>
    </row>
    <row r="147" spans="2:9">
      <c r="B147" s="485"/>
      <c r="C147" s="765"/>
      <c r="D147" s="782"/>
      <c r="H147" s="1239"/>
      <c r="I147" s="1239"/>
    </row>
    <row r="148" spans="2:9">
      <c r="B148" s="485"/>
      <c r="C148" s="765"/>
      <c r="D148" s="782"/>
      <c r="H148" s="1239"/>
      <c r="I148" s="1239"/>
    </row>
    <row r="149" spans="2:9">
      <c r="B149" s="485"/>
      <c r="C149" s="765"/>
      <c r="D149" s="782"/>
    </row>
    <row r="150" spans="2:9">
      <c r="B150" s="485"/>
      <c r="C150" s="765"/>
      <c r="D150" s="782"/>
    </row>
    <row r="151" spans="2:9">
      <c r="B151" s="485"/>
      <c r="C151" s="765"/>
      <c r="D151" s="782"/>
    </row>
    <row r="152" spans="2:9">
      <c r="B152" s="485"/>
      <c r="C152" s="765"/>
      <c r="D152" s="782"/>
    </row>
    <row r="153" spans="2:9">
      <c r="B153" s="485"/>
      <c r="C153" s="765"/>
      <c r="D153" s="782"/>
    </row>
    <row r="154" spans="2:9">
      <c r="B154" s="485"/>
      <c r="C154" s="765"/>
      <c r="D154" s="782"/>
    </row>
    <row r="155" spans="2:9">
      <c r="B155" s="485"/>
      <c r="C155" s="765"/>
      <c r="D155" s="782"/>
    </row>
    <row r="156" spans="2:9">
      <c r="B156" s="485"/>
      <c r="C156" s="765"/>
      <c r="D156" s="782"/>
    </row>
    <row r="157" spans="2:9">
      <c r="B157" s="485"/>
      <c r="C157" s="765"/>
      <c r="D157" s="782"/>
    </row>
    <row r="158" spans="2:9">
      <c r="B158" s="485"/>
      <c r="C158" s="765"/>
      <c r="D158" s="782"/>
    </row>
    <row r="159" spans="2:9">
      <c r="B159" s="485"/>
      <c r="C159" s="765"/>
      <c r="D159" s="782"/>
    </row>
    <row r="160" spans="2:9">
      <c r="B160" s="485"/>
      <c r="C160" s="765"/>
      <c r="D160" s="782"/>
    </row>
    <row r="161" spans="2:4">
      <c r="B161" s="485"/>
      <c r="C161" s="765"/>
      <c r="D161" s="782"/>
    </row>
    <row r="162" spans="2:4">
      <c r="B162" s="485"/>
      <c r="C162" s="765"/>
      <c r="D162" s="782"/>
    </row>
    <row r="163" spans="2:4">
      <c r="B163" s="485"/>
      <c r="C163" s="765"/>
      <c r="D163" s="782"/>
    </row>
    <row r="164" spans="2:4">
      <c r="B164" s="485"/>
      <c r="C164" s="765"/>
      <c r="D164" s="782"/>
    </row>
    <row r="165" spans="2:4">
      <c r="B165" s="485"/>
      <c r="C165" s="765"/>
      <c r="D165" s="782"/>
    </row>
    <row r="166" spans="2:4">
      <c r="B166" s="485"/>
      <c r="C166" s="765"/>
      <c r="D166" s="782"/>
    </row>
  </sheetData>
  <sheetProtection password="CB29" sheet="1" formatCells="0" formatColumns="0" formatRows="0" insertColumns="0" insertRows="0" insertHyperlinks="0" deleteColumns="0" deleteRows="0" sort="0" autoFilter="0" pivotTables="0"/>
  <mergeCells count="35">
    <mergeCell ref="B4:E4"/>
    <mergeCell ref="A1:XFD1"/>
    <mergeCell ref="B2:E2"/>
    <mergeCell ref="F2:G2"/>
    <mergeCell ref="B3:E3"/>
    <mergeCell ref="F3:G3"/>
    <mergeCell ref="B5:E5"/>
    <mergeCell ref="F5:G5"/>
    <mergeCell ref="B6:E6"/>
    <mergeCell ref="F6:G6"/>
    <mergeCell ref="B7:E7"/>
    <mergeCell ref="F7:G7"/>
    <mergeCell ref="B55:E55"/>
    <mergeCell ref="F55:G55"/>
    <mergeCell ref="C14:F14"/>
    <mergeCell ref="E36:G36"/>
    <mergeCell ref="E38:G38"/>
    <mergeCell ref="E40:G40"/>
    <mergeCell ref="E42:G42"/>
    <mergeCell ref="E43:G43"/>
    <mergeCell ref="B52:E52"/>
    <mergeCell ref="F52:G52"/>
    <mergeCell ref="A53:XFD53"/>
    <mergeCell ref="B54:E54"/>
    <mergeCell ref="F54:G54"/>
    <mergeCell ref="F56:G56"/>
    <mergeCell ref="B57:E57"/>
    <mergeCell ref="F57:G57"/>
    <mergeCell ref="B58:E58"/>
    <mergeCell ref="F58:G58"/>
    <mergeCell ref="E98:E99"/>
    <mergeCell ref="E102:E103"/>
    <mergeCell ref="E114:E115"/>
    <mergeCell ref="E118:E119"/>
    <mergeCell ref="B56:E56"/>
  </mergeCells>
  <conditionalFormatting sqref="I1:I1048576">
    <cfRule type="cellIs" dxfId="5" priority="1" operator="equal">
      <formula>0</formula>
    </cfRule>
  </conditionalFormatting>
  <pageMargins left="0.7" right="0.7" top="0.75" bottom="0.75" header="0.3" footer="0.3"/>
  <pageSetup paperSize="9" scale="90" orientation="portrait" horizontalDpi="1200" verticalDpi="1200"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view="pageBreakPreview" zoomScale="115" zoomScaleNormal="100" zoomScaleSheetLayoutView="115" workbookViewId="0">
      <selection activeCell="F6" sqref="F6"/>
    </sheetView>
  </sheetViews>
  <sheetFormatPr defaultRowHeight="12.75"/>
  <cols>
    <col min="2" max="2" width="22.85546875" bestFit="1" customWidth="1"/>
    <col min="6" max="6" width="15.140625" customWidth="1"/>
  </cols>
  <sheetData>
    <row r="2" spans="1:6">
      <c r="A2" s="702" t="s">
        <v>1836</v>
      </c>
      <c r="B2" s="703" t="s">
        <v>1837</v>
      </c>
      <c r="C2" s="703"/>
      <c r="D2" s="703"/>
      <c r="E2" s="703"/>
      <c r="F2" s="920" t="s">
        <v>1838</v>
      </c>
    </row>
    <row r="3" spans="1:6">
      <c r="A3" s="678"/>
      <c r="B3" s="678"/>
      <c r="C3" s="678"/>
      <c r="D3" s="678"/>
      <c r="E3" s="678"/>
      <c r="F3" s="678"/>
    </row>
    <row r="4" spans="1:6">
      <c r="A4" s="702" t="s">
        <v>1828</v>
      </c>
      <c r="B4" s="703" t="s">
        <v>1829</v>
      </c>
      <c r="C4" s="703"/>
      <c r="D4" s="703"/>
      <c r="E4" s="703"/>
      <c r="F4" s="705"/>
    </row>
    <row r="5" spans="1:6">
      <c r="A5" s="678"/>
      <c r="B5" s="678"/>
      <c r="C5" s="678"/>
      <c r="D5" s="678"/>
      <c r="E5" s="678"/>
      <c r="F5" s="678"/>
    </row>
    <row r="6" spans="1:6">
      <c r="A6" s="702"/>
      <c r="B6" s="708" t="str">
        <f>'MAPA 1--Z1 - Građ.obrtnički rad'!D524</f>
        <v>GRAĐEVINSKO OBRTNIČKI RADOVI - ZGRADA 1</v>
      </c>
      <c r="C6" s="703"/>
      <c r="D6" s="703"/>
      <c r="E6" s="703"/>
      <c r="F6" s="731">
        <f>'MAPA 1--Z1 - Građ.obrtnički rad'!I524</f>
        <v>0</v>
      </c>
    </row>
    <row r="7" spans="1:6">
      <c r="A7" s="678"/>
      <c r="B7" s="678"/>
      <c r="C7" s="678"/>
      <c r="D7" s="678"/>
      <c r="E7" s="678"/>
      <c r="F7" s="733"/>
    </row>
    <row r="8" spans="1:6">
      <c r="A8" s="702"/>
      <c r="B8" s="704" t="str">
        <f>'MAPA 1- Z2 - Građ.obrtnički rad'!D541</f>
        <v>GRAĐEVINSKO OBRTNIČKI RADOVI - ZGRADA 2</v>
      </c>
      <c r="C8" s="703"/>
      <c r="D8" s="703"/>
      <c r="E8" s="703"/>
      <c r="F8" s="731">
        <f>'MAPA 1- Z2 - Građ.obrtnički rad'!I541</f>
        <v>0</v>
      </c>
    </row>
    <row r="9" spans="1:6">
      <c r="A9" s="678"/>
      <c r="B9" s="678"/>
      <c r="C9" s="678"/>
      <c r="D9" s="678"/>
      <c r="E9" s="678"/>
      <c r="F9" s="733"/>
    </row>
    <row r="10" spans="1:6">
      <c r="A10" s="702" t="s">
        <v>1797</v>
      </c>
      <c r="B10" s="703" t="s">
        <v>1830</v>
      </c>
      <c r="C10" s="703"/>
      <c r="D10" s="703"/>
      <c r="E10" s="703"/>
      <c r="F10" s="731">
        <f>'MAPA 3-STROJARSTVO'!G484</f>
        <v>0</v>
      </c>
    </row>
    <row r="11" spans="1:6">
      <c r="A11" s="678"/>
      <c r="B11" s="678"/>
      <c r="C11" s="678"/>
      <c r="D11" s="678"/>
      <c r="E11" s="678"/>
      <c r="F11" s="733"/>
    </row>
    <row r="12" spans="1:6">
      <c r="A12" s="702" t="s">
        <v>1832</v>
      </c>
      <c r="B12" s="703" t="s">
        <v>1831</v>
      </c>
      <c r="C12" s="703"/>
      <c r="D12" s="703"/>
      <c r="E12" s="703"/>
      <c r="F12" s="731">
        <f>'MAPA 4-VODA'!G77+'MAPA 4-KANALIZACIJA'!G73+'MAPA 5-SANITARIJE'!G61</f>
        <v>0</v>
      </c>
    </row>
    <row r="13" spans="1:6">
      <c r="A13" s="678"/>
      <c r="B13" s="678"/>
      <c r="C13" s="678"/>
      <c r="D13" s="678"/>
      <c r="E13" s="678"/>
      <c r="F13" s="733"/>
    </row>
    <row r="14" spans="1:6">
      <c r="A14" s="702" t="s">
        <v>1834</v>
      </c>
      <c r="B14" s="703" t="s">
        <v>1833</v>
      </c>
      <c r="C14" s="703"/>
      <c r="D14" s="703"/>
      <c r="E14" s="703"/>
      <c r="F14" s="731">
        <f>'MAPA 5-ELEKTRO'!H570</f>
        <v>0</v>
      </c>
    </row>
    <row r="15" spans="1:6">
      <c r="A15" s="678"/>
      <c r="B15" s="678"/>
      <c r="C15" s="678"/>
      <c r="D15" s="678"/>
      <c r="E15" s="678"/>
      <c r="F15" s="733"/>
    </row>
    <row r="16" spans="1:6">
      <c r="A16" s="702"/>
      <c r="B16" s="703" t="s">
        <v>1835</v>
      </c>
      <c r="C16" s="703"/>
      <c r="D16" s="703"/>
      <c r="E16" s="703"/>
      <c r="F16" s="731">
        <f>'MAPA 5-VATRODOJAVA'!I128</f>
        <v>0</v>
      </c>
    </row>
    <row r="17" spans="1:6">
      <c r="A17" s="678"/>
      <c r="B17" s="678"/>
      <c r="C17" s="678"/>
      <c r="D17" s="678"/>
      <c r="E17" s="678"/>
      <c r="F17" s="678"/>
    </row>
    <row r="18" spans="1:6">
      <c r="A18" s="706" t="s">
        <v>1840</v>
      </c>
      <c r="B18" s="707"/>
      <c r="C18" s="707"/>
      <c r="D18" s="707"/>
      <c r="E18" s="707"/>
      <c r="F18" s="732">
        <f>SUM(F6:F17)</f>
        <v>0</v>
      </c>
    </row>
    <row r="19" spans="1:6">
      <c r="A19" s="678"/>
      <c r="B19" s="678"/>
      <c r="C19" s="678"/>
      <c r="D19" s="678"/>
      <c r="E19" s="678"/>
      <c r="F19" s="733"/>
    </row>
    <row r="20" spans="1:6">
      <c r="A20" s="702" t="s">
        <v>37</v>
      </c>
      <c r="B20" s="703"/>
      <c r="C20" s="703"/>
      <c r="D20" s="703"/>
      <c r="E20" s="703"/>
      <c r="F20" s="731">
        <f>F18/4</f>
        <v>0</v>
      </c>
    </row>
    <row r="21" spans="1:6">
      <c r="A21" s="678"/>
      <c r="B21" s="678"/>
      <c r="C21" s="678"/>
      <c r="D21" s="678"/>
      <c r="E21" s="678"/>
      <c r="F21" s="733"/>
    </row>
    <row r="22" spans="1:6">
      <c r="A22" s="706" t="s">
        <v>1839</v>
      </c>
      <c r="B22" s="707"/>
      <c r="C22" s="707"/>
      <c r="D22" s="707"/>
      <c r="E22" s="707"/>
      <c r="F22" s="732">
        <f>+F18+F20</f>
        <v>0</v>
      </c>
    </row>
  </sheetData>
  <sheetProtection password="CB29" sheet="1" formatCells="0" formatColumns="0" formatRows="0" insertColumns="0" insertRows="0" insertHyperlinks="0" deleteColumns="0" deleteRows="0" sort="0" autoFilter="0" pivotTables="0"/>
  <conditionalFormatting sqref="F1:F1048576">
    <cfRule type="cellIs" dxfId="18" priority="5" operator="equal">
      <formula>0</formula>
    </cfRule>
  </conditionalFormatting>
  <conditionalFormatting sqref="F18">
    <cfRule type="cellIs" dxfId="17" priority="2" operator="equal">
      <formula>0</formula>
    </cfRule>
    <cfRule type="cellIs" dxfId="16" priority="3" operator="equal">
      <formula>0</formula>
    </cfRule>
    <cfRule type="cellIs" priority="4" operator="equal">
      <formula>0</formula>
    </cfRule>
  </conditionalFormatting>
  <conditionalFormatting sqref="F22">
    <cfRule type="cellIs" dxfId="15" priority="1" operator="equal">
      <formula>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25"/>
  <sheetViews>
    <sheetView showZeros="0" view="pageBreakPreview" topLeftCell="C13" zoomScale="130" zoomScaleNormal="100" zoomScaleSheetLayoutView="130" workbookViewId="0">
      <selection activeCell="H19" sqref="H19"/>
    </sheetView>
  </sheetViews>
  <sheetFormatPr defaultColWidth="2.42578125" defaultRowHeight="12.75"/>
  <cols>
    <col min="1" max="1" width="3.85546875" style="13" customWidth="1"/>
    <col min="2" max="2" width="4" style="13" bestFit="1" customWidth="1"/>
    <col min="3" max="3" width="4.7109375" style="63" customWidth="1"/>
    <col min="4" max="4" width="47.7109375" style="64" customWidth="1"/>
    <col min="5" max="5" width="14.140625" style="64" customWidth="1"/>
    <col min="6" max="6" width="9.7109375" style="829" customWidth="1"/>
    <col min="7" max="7" width="9.7109375" style="39" customWidth="1"/>
    <col min="8" max="8" width="9.7109375" style="40" customWidth="1"/>
    <col min="9" max="9" width="13.7109375" style="41" customWidth="1"/>
    <col min="10" max="10" width="28.42578125" style="42" customWidth="1"/>
    <col min="11" max="11" width="9.5703125" style="15" customWidth="1"/>
    <col min="12" max="20" width="9.140625" style="15" customWidth="1"/>
    <col min="21" max="16384" width="2.42578125" style="15"/>
  </cols>
  <sheetData>
    <row r="1" spans="1:10" ht="25.5" customHeight="1">
      <c r="C1" s="14"/>
      <c r="D1" s="245" t="str">
        <f>+'MAPA 1-OPĆI UVJETI'!D1</f>
        <v>GRAĐEVINA</v>
      </c>
      <c r="E1" s="245"/>
      <c r="F1" s="1257" t="s">
        <v>461</v>
      </c>
      <c r="G1" s="1257"/>
      <c r="H1" s="244" t="str">
        <f>+'MAPA 1-OPĆI UVJETI'!G1</f>
        <v>BR. PROJEKTA</v>
      </c>
      <c r="I1" s="246" t="str">
        <f>'MAPA 1-OPĆI UVJETI'!H1</f>
        <v>04/16</v>
      </c>
      <c r="J1" s="2"/>
    </row>
    <row r="2" spans="1:10" ht="27.6" customHeight="1">
      <c r="C2" s="14"/>
      <c r="D2" s="245" t="str">
        <f>+'MAPA 1-OPĆI UVJETI'!D2</f>
        <v>NARUČITELJ</v>
      </c>
      <c r="E2" s="245"/>
      <c r="F2" s="1257" t="s">
        <v>430</v>
      </c>
      <c r="G2" s="1258"/>
      <c r="H2" s="244" t="str">
        <f>+'MAPA 1-OPĆI UVJETI'!G2</f>
        <v>ZOP</v>
      </c>
      <c r="I2" s="246" t="str">
        <f>'MAPA 1-OPĆI UVJETI'!H2</f>
        <v>NPPJ-1</v>
      </c>
      <c r="J2" s="5"/>
    </row>
    <row r="3" spans="1:10" ht="14.1" customHeight="1">
      <c r="C3" s="14"/>
      <c r="D3" s="245" t="str">
        <f>+'MAPA 1-OPĆI UVJETI'!D3</f>
        <v>FAZA PROJEKTA</v>
      </c>
      <c r="E3" s="245"/>
      <c r="F3" s="1258" t="s">
        <v>1004</v>
      </c>
      <c r="G3" s="1258"/>
      <c r="H3" s="244" t="str">
        <f>+'MAPA 1-OPĆI UVJETI'!G3</f>
        <v>DATUM</v>
      </c>
      <c r="I3" s="246" t="str">
        <f>'MAPA 1-OPĆI UVJETI'!H3</f>
        <v>kolovoz 2016.</v>
      </c>
      <c r="J3" s="3"/>
    </row>
    <row r="4" spans="1:10" ht="14.1" customHeight="1">
      <c r="C4" s="16"/>
      <c r="D4" s="17"/>
      <c r="E4" s="17"/>
      <c r="F4" s="824" t="s">
        <v>905</v>
      </c>
      <c r="G4" s="4"/>
      <c r="H4" s="4"/>
      <c r="I4" s="6"/>
      <c r="J4" s="5"/>
    </row>
    <row r="5" spans="1:10" ht="14.1" customHeight="1">
      <c r="C5" s="14"/>
      <c r="D5" s="240"/>
      <c r="E5" s="240"/>
      <c r="F5" s="1264"/>
      <c r="G5" s="1264"/>
      <c r="H5" s="109"/>
      <c r="I5" s="241"/>
      <c r="J5" s="3"/>
    </row>
    <row r="6" spans="1:10" ht="14.1" customHeight="1">
      <c r="C6" s="14"/>
      <c r="D6" s="252" t="s">
        <v>462</v>
      </c>
      <c r="E6" s="252"/>
      <c r="F6" s="825"/>
      <c r="G6" s="254"/>
      <c r="H6" s="109"/>
      <c r="I6" s="242"/>
      <c r="J6" s="1"/>
    </row>
    <row r="7" spans="1:10" s="20" customFormat="1" ht="15.75" thickBot="1">
      <c r="A7" s="18"/>
      <c r="B7" s="19"/>
      <c r="C7" s="7"/>
      <c r="D7" s="8"/>
      <c r="E7" s="8"/>
      <c r="F7" s="826"/>
      <c r="G7" s="10"/>
      <c r="H7" s="11"/>
      <c r="I7" s="11"/>
      <c r="J7" s="12"/>
    </row>
    <row r="8" spans="1:10" s="21" customFormat="1" ht="25.5" customHeight="1" thickBot="1">
      <c r="A8" s="18"/>
      <c r="B8" s="18"/>
      <c r="C8" s="711" t="s">
        <v>13</v>
      </c>
      <c r="D8" s="712" t="s">
        <v>9</v>
      </c>
      <c r="E8" s="713" t="s">
        <v>1841</v>
      </c>
      <c r="F8" s="714" t="s">
        <v>15</v>
      </c>
      <c r="G8" s="715" t="s">
        <v>10</v>
      </c>
      <c r="H8" s="715" t="s">
        <v>16</v>
      </c>
      <c r="I8" s="716" t="s">
        <v>17</v>
      </c>
      <c r="J8" s="108"/>
    </row>
    <row r="9" spans="1:10" s="27" customFormat="1" ht="12" customHeight="1">
      <c r="A9" s="18"/>
      <c r="B9" s="18"/>
      <c r="C9" s="22"/>
      <c r="D9" s="112" t="s">
        <v>36</v>
      </c>
      <c r="E9" s="112"/>
      <c r="F9" s="73"/>
      <c r="G9" s="24"/>
      <c r="H9" s="25"/>
      <c r="I9" s="25"/>
      <c r="J9" s="26"/>
    </row>
    <row r="10" spans="1:10" s="34" customFormat="1" ht="12" customHeight="1">
      <c r="A10" s="18"/>
      <c r="B10" s="18"/>
      <c r="C10" s="28"/>
      <c r="D10" s="29"/>
      <c r="E10" s="29"/>
      <c r="F10" s="827"/>
      <c r="G10" s="31"/>
      <c r="H10" s="32"/>
      <c r="I10" s="32"/>
      <c r="J10" s="33"/>
    </row>
    <row r="11" spans="1:10" s="83" customFormat="1" ht="20.100000000000001" customHeight="1">
      <c r="A11" s="126"/>
      <c r="B11" s="13"/>
      <c r="C11" s="127" t="s">
        <v>716</v>
      </c>
      <c r="D11" s="114" t="s">
        <v>715</v>
      </c>
      <c r="E11" s="114"/>
      <c r="F11" s="828"/>
      <c r="G11" s="116"/>
      <c r="H11" s="117"/>
      <c r="I11" s="118"/>
      <c r="J11" s="37"/>
    </row>
    <row r="12" spans="1:10" ht="12" customHeight="1">
      <c r="A12" s="126"/>
      <c r="C12" s="35"/>
      <c r="D12" s="36"/>
      <c r="E12" s="36"/>
      <c r="H12" s="40">
        <v>0</v>
      </c>
    </row>
    <row r="13" spans="1:10" s="49" customFormat="1" ht="12" customHeight="1">
      <c r="A13" s="126" t="str">
        <f t="shared" ref="A13:A125" si="0">$C$11</f>
        <v>A1</v>
      </c>
      <c r="B13" s="13">
        <f>$C$13</f>
        <v>1</v>
      </c>
      <c r="C13" s="125">
        <v>1</v>
      </c>
      <c r="D13" s="120" t="s">
        <v>3</v>
      </c>
      <c r="E13" s="120"/>
      <c r="F13" s="830"/>
      <c r="G13" s="122"/>
      <c r="H13" s="152">
        <v>0</v>
      </c>
      <c r="I13" s="123"/>
      <c r="J13" s="48"/>
    </row>
    <row r="14" spans="1:10" s="49" customFormat="1" ht="12" customHeight="1">
      <c r="A14" s="126" t="str">
        <f t="shared" si="0"/>
        <v>A1</v>
      </c>
      <c r="B14" s="13">
        <f t="shared" ref="B14:B107" si="1">$C$13</f>
        <v>1</v>
      </c>
      <c r="C14" s="128"/>
      <c r="D14" s="50"/>
      <c r="E14" s="50"/>
      <c r="F14" s="831"/>
      <c r="G14" s="46"/>
      <c r="H14" s="143">
        <v>0</v>
      </c>
      <c r="I14" s="144"/>
      <c r="J14" s="48"/>
    </row>
    <row r="15" spans="1:10" s="53" customFormat="1" ht="12" customHeight="1">
      <c r="A15" s="126" t="str">
        <f t="shared" si="0"/>
        <v>A1</v>
      </c>
      <c r="B15" s="13">
        <f t="shared" si="1"/>
        <v>1</v>
      </c>
      <c r="C15" s="169"/>
      <c r="D15" s="1262" t="s">
        <v>52</v>
      </c>
      <c r="E15" s="1262"/>
      <c r="F15" s="1262"/>
      <c r="G15"/>
      <c r="H15" s="170"/>
      <c r="I15"/>
      <c r="J15" s="55"/>
    </row>
    <row r="16" spans="1:10" s="53" customFormat="1" ht="54.75" customHeight="1">
      <c r="A16" s="126" t="str">
        <f t="shared" si="0"/>
        <v>A1</v>
      </c>
      <c r="B16" s="13">
        <f t="shared" si="1"/>
        <v>1</v>
      </c>
      <c r="C16" s="169"/>
      <c r="D16" s="1263" t="s">
        <v>818</v>
      </c>
      <c r="E16" s="1263"/>
      <c r="F16" s="1263"/>
      <c r="G16" s="1263"/>
      <c r="H16" s="1263"/>
      <c r="I16" s="1263"/>
      <c r="J16" s="55"/>
    </row>
    <row r="17" spans="1:10" s="53" customFormat="1" ht="12" customHeight="1">
      <c r="A17" s="126" t="str">
        <f t="shared" si="0"/>
        <v>A1</v>
      </c>
      <c r="B17" s="13">
        <f t="shared" si="1"/>
        <v>1</v>
      </c>
      <c r="C17" s="169"/>
      <c r="D17" s="171"/>
      <c r="E17" s="171"/>
      <c r="F17" s="832"/>
      <c r="G17" s="171"/>
      <c r="H17" s="171"/>
      <c r="I17" s="171"/>
      <c r="J17" s="52"/>
    </row>
    <row r="18" spans="1:10" s="53" customFormat="1" ht="102">
      <c r="A18" s="126" t="str">
        <f t="shared" si="0"/>
        <v>A1</v>
      </c>
      <c r="B18" s="13">
        <f t="shared" si="1"/>
        <v>1</v>
      </c>
      <c r="C18" s="173" t="s">
        <v>53</v>
      </c>
      <c r="D18" s="239" t="s">
        <v>424</v>
      </c>
      <c r="E18" s="853"/>
      <c r="F18" s="783"/>
      <c r="G18" s="710"/>
      <c r="H18" s="810"/>
      <c r="I18" s="205"/>
      <c r="J18" s="55"/>
    </row>
    <row r="19" spans="1:10" s="53" customFormat="1">
      <c r="A19" s="126" t="str">
        <f t="shared" si="0"/>
        <v>A1</v>
      </c>
      <c r="B19" s="13">
        <f t="shared" si="1"/>
        <v>1</v>
      </c>
      <c r="C19" s="173"/>
      <c r="D19" s="174" t="s">
        <v>51</v>
      </c>
      <c r="E19" s="853"/>
      <c r="F19" s="192" t="s">
        <v>4</v>
      </c>
      <c r="G19" s="784">
        <v>1</v>
      </c>
      <c r="H19" s="809"/>
      <c r="I19" s="176">
        <f>G19*H19</f>
        <v>0</v>
      </c>
      <c r="J19" s="55"/>
    </row>
    <row r="20" spans="1:10" s="53" customFormat="1" ht="12" customHeight="1">
      <c r="A20" s="126" t="str">
        <f t="shared" si="0"/>
        <v>A1</v>
      </c>
      <c r="B20" s="13">
        <f t="shared" si="1"/>
        <v>1</v>
      </c>
      <c r="C20" s="169"/>
      <c r="D20" s="181"/>
      <c r="E20" s="854"/>
      <c r="F20" s="833"/>
      <c r="G20" s="818"/>
      <c r="H20" s="913"/>
      <c r="I20" s="921"/>
      <c r="J20" s="52"/>
    </row>
    <row r="21" spans="1:10" s="53" customFormat="1" ht="41.25" customHeight="1">
      <c r="A21" s="126" t="str">
        <f t="shared" si="0"/>
        <v>A1</v>
      </c>
      <c r="B21" s="13">
        <f t="shared" si="1"/>
        <v>1</v>
      </c>
      <c r="C21" s="354" t="s">
        <v>54</v>
      </c>
      <c r="D21" s="174" t="s">
        <v>463</v>
      </c>
      <c r="E21" s="853"/>
      <c r="F21" s="192"/>
      <c r="G21" s="784"/>
      <c r="H21" s="809"/>
      <c r="I21" s="176"/>
      <c r="J21" s="55"/>
    </row>
    <row r="22" spans="1:10" s="53" customFormat="1" ht="12" customHeight="1">
      <c r="A22" s="126"/>
      <c r="B22" s="13"/>
      <c r="C22" s="354"/>
      <c r="D22" s="239" t="s">
        <v>464</v>
      </c>
      <c r="E22" s="853"/>
      <c r="F22" s="192" t="s">
        <v>12</v>
      </c>
      <c r="G22" s="784">
        <f>+'MAPA 1-ISKAZ KOLIČINA'!R16</f>
        <v>317.17510000000004</v>
      </c>
      <c r="H22" s="809"/>
      <c r="I22" s="176">
        <f>G22*H22</f>
        <v>0</v>
      </c>
      <c r="J22" s="55"/>
    </row>
    <row r="23" spans="1:10" s="53" customFormat="1" ht="12" customHeight="1">
      <c r="A23" s="126"/>
      <c r="B23" s="13"/>
      <c r="C23" s="354"/>
      <c r="D23" s="239"/>
      <c r="E23" s="853"/>
      <c r="F23" s="192"/>
      <c r="G23" s="784"/>
      <c r="H23" s="809"/>
      <c r="I23" s="176"/>
      <c r="J23" s="55"/>
    </row>
    <row r="24" spans="1:10" s="53" customFormat="1">
      <c r="A24" s="126"/>
      <c r="B24" s="13"/>
      <c r="C24" s="354" t="s">
        <v>55</v>
      </c>
      <c r="D24" s="239" t="s">
        <v>764</v>
      </c>
      <c r="E24" s="853"/>
      <c r="F24" s="192"/>
      <c r="G24" s="784"/>
      <c r="H24" s="809"/>
      <c r="I24" s="176"/>
      <c r="J24" s="55"/>
    </row>
    <row r="25" spans="1:10" s="53" customFormat="1" ht="12" customHeight="1">
      <c r="A25" s="126"/>
      <c r="B25" s="13"/>
      <c r="C25" s="354"/>
      <c r="D25" s="239" t="s">
        <v>492</v>
      </c>
      <c r="E25" s="853"/>
      <c r="F25" s="192" t="s">
        <v>12</v>
      </c>
      <c r="G25" s="784">
        <f>+'MAPA 1-ISKAZ KOLIČINA'!S16</f>
        <v>711.26034000000004</v>
      </c>
      <c r="H25" s="809"/>
      <c r="I25" s="176">
        <f>G25*H25</f>
        <v>0</v>
      </c>
      <c r="J25" s="55"/>
    </row>
    <row r="26" spans="1:10" s="53" customFormat="1" ht="12" customHeight="1">
      <c r="A26" s="126"/>
      <c r="B26" s="13"/>
      <c r="C26" s="354"/>
      <c r="D26" s="239"/>
      <c r="E26" s="853"/>
      <c r="F26" s="192"/>
      <c r="G26" s="784"/>
      <c r="H26" s="809"/>
      <c r="I26" s="176"/>
      <c r="J26" s="55"/>
    </row>
    <row r="27" spans="1:10" s="53" customFormat="1" ht="26.25" customHeight="1">
      <c r="A27" s="126"/>
      <c r="B27" s="13"/>
      <c r="C27" s="354" t="s">
        <v>465</v>
      </c>
      <c r="D27" s="239" t="s">
        <v>872</v>
      </c>
      <c r="E27" s="853"/>
      <c r="F27" s="192"/>
      <c r="G27" s="784"/>
      <c r="H27" s="809"/>
      <c r="I27" s="176"/>
      <c r="J27" s="55"/>
    </row>
    <row r="28" spans="1:10" s="53" customFormat="1" ht="12" customHeight="1">
      <c r="A28" s="126"/>
      <c r="B28" s="13"/>
      <c r="C28" s="354"/>
      <c r="D28" s="239" t="s">
        <v>474</v>
      </c>
      <c r="E28" s="853"/>
      <c r="F28" s="192" t="s">
        <v>8</v>
      </c>
      <c r="G28" s="784">
        <f>+'MAPA 1-ISKAZ KOLIČINA'!AA16</f>
        <v>18.899999999999999</v>
      </c>
      <c r="H28" s="809"/>
      <c r="I28" s="176">
        <f>G28*H28</f>
        <v>0</v>
      </c>
      <c r="J28" s="55"/>
    </row>
    <row r="29" spans="1:10" s="53" customFormat="1" ht="12" customHeight="1">
      <c r="A29" s="126"/>
      <c r="B29" s="13"/>
      <c r="C29" s="354"/>
      <c r="D29" s="239"/>
      <c r="E29" s="853"/>
      <c r="F29" s="192"/>
      <c r="G29" s="784"/>
      <c r="H29" s="809"/>
      <c r="I29" s="176"/>
      <c r="J29" s="55"/>
    </row>
    <row r="30" spans="1:10" s="53" customFormat="1" ht="28.9" customHeight="1">
      <c r="A30" s="126"/>
      <c r="B30" s="13"/>
      <c r="C30" s="354" t="s">
        <v>493</v>
      </c>
      <c r="D30" s="239" t="s">
        <v>620</v>
      </c>
      <c r="E30" s="853"/>
      <c r="F30" s="192"/>
      <c r="G30" s="784"/>
      <c r="H30" s="809"/>
      <c r="I30" s="176"/>
      <c r="J30" s="55"/>
    </row>
    <row r="31" spans="1:10" s="53" customFormat="1" ht="12" customHeight="1">
      <c r="A31" s="126"/>
      <c r="B31" s="13"/>
      <c r="C31" s="354"/>
      <c r="D31" s="239" t="s">
        <v>621</v>
      </c>
      <c r="E31" s="853"/>
      <c r="F31" s="192" t="s">
        <v>12</v>
      </c>
      <c r="G31" s="784">
        <f>+'MAPA 1-ISKAZ KOLIČINA'!I16</f>
        <v>226.01</v>
      </c>
      <c r="H31" s="809"/>
      <c r="I31" s="176">
        <f>G31*H31</f>
        <v>0</v>
      </c>
      <c r="J31" s="55"/>
    </row>
    <row r="32" spans="1:10" s="53" customFormat="1" ht="12" customHeight="1">
      <c r="A32" s="126"/>
      <c r="B32" s="13"/>
      <c r="C32" s="354"/>
      <c r="D32" s="239"/>
      <c r="E32" s="853"/>
      <c r="F32" s="192"/>
      <c r="G32" s="784"/>
      <c r="H32" s="809"/>
      <c r="I32" s="176"/>
      <c r="J32" s="55"/>
    </row>
    <row r="33" spans="1:10" s="53" customFormat="1" ht="12" customHeight="1">
      <c r="A33" s="126"/>
      <c r="B33" s="13"/>
      <c r="C33" s="354" t="s">
        <v>494</v>
      </c>
      <c r="D33" s="239" t="s">
        <v>623</v>
      </c>
      <c r="E33" s="853"/>
      <c r="F33" s="192"/>
      <c r="G33" s="784"/>
      <c r="H33" s="809"/>
      <c r="I33" s="176"/>
      <c r="J33" s="55"/>
    </row>
    <row r="34" spans="1:10" s="53" customFormat="1" ht="12" customHeight="1">
      <c r="A34" s="126"/>
      <c r="B34" s="13"/>
      <c r="C34" s="354"/>
      <c r="D34" s="239" t="s">
        <v>621</v>
      </c>
      <c r="E34" s="853"/>
      <c r="F34" s="192" t="s">
        <v>12</v>
      </c>
      <c r="G34" s="784">
        <f>+'MAPA 1-ISKAZ KOLIČINA'!L16</f>
        <v>195.62210000000002</v>
      </c>
      <c r="H34" s="809"/>
      <c r="I34" s="176">
        <f>G34*H34</f>
        <v>0</v>
      </c>
      <c r="J34" s="55"/>
    </row>
    <row r="35" spans="1:10" s="53" customFormat="1" ht="12" customHeight="1">
      <c r="A35" s="126"/>
      <c r="B35" s="13"/>
      <c r="C35" s="354"/>
      <c r="D35" s="239"/>
      <c r="E35" s="853"/>
      <c r="F35" s="192"/>
      <c r="G35" s="784"/>
      <c r="H35" s="809"/>
      <c r="I35" s="176"/>
      <c r="J35" s="55"/>
    </row>
    <row r="36" spans="1:10" s="53" customFormat="1" ht="12" customHeight="1">
      <c r="A36" s="126"/>
      <c r="B36" s="13"/>
      <c r="C36" s="354" t="s">
        <v>622</v>
      </c>
      <c r="D36" s="239" t="s">
        <v>624</v>
      </c>
      <c r="E36" s="853"/>
      <c r="F36" s="192"/>
      <c r="G36" s="784"/>
      <c r="H36" s="809"/>
      <c r="I36" s="176"/>
      <c r="J36" s="55"/>
    </row>
    <row r="37" spans="1:10" s="53" customFormat="1" ht="12" customHeight="1">
      <c r="A37" s="126"/>
      <c r="B37" s="13"/>
      <c r="C37" s="354"/>
      <c r="D37" s="239" t="s">
        <v>626</v>
      </c>
      <c r="E37" s="853"/>
      <c r="F37" s="192" t="s">
        <v>8</v>
      </c>
      <c r="G37" s="784">
        <f>+'MAPA 1-ISKAZ KOLIČINA'!K16</f>
        <v>88.09</v>
      </c>
      <c r="H37" s="809"/>
      <c r="I37" s="176">
        <f>G37*H37</f>
        <v>0</v>
      </c>
      <c r="J37" s="55"/>
    </row>
    <row r="38" spans="1:10" s="53" customFormat="1" ht="12" customHeight="1">
      <c r="A38" s="126"/>
      <c r="B38" s="13"/>
      <c r="C38" s="354"/>
      <c r="D38" s="239"/>
      <c r="E38" s="853"/>
      <c r="F38" s="192"/>
      <c r="G38" s="784"/>
      <c r="H38" s="809"/>
      <c r="I38" s="176"/>
      <c r="J38" s="55"/>
    </row>
    <row r="39" spans="1:10" s="53" customFormat="1" ht="27" customHeight="1">
      <c r="A39" s="126"/>
      <c r="B39" s="13"/>
      <c r="C39" s="354" t="s">
        <v>625</v>
      </c>
      <c r="D39" s="239" t="s">
        <v>985</v>
      </c>
      <c r="E39" s="853"/>
      <c r="F39" s="192"/>
      <c r="G39" s="784"/>
      <c r="H39" s="809"/>
      <c r="I39" s="176"/>
      <c r="J39" s="55"/>
    </row>
    <row r="40" spans="1:10" s="53" customFormat="1" ht="12" customHeight="1">
      <c r="A40" s="126"/>
      <c r="B40" s="13"/>
      <c r="C40" s="354"/>
      <c r="D40" s="239" t="s">
        <v>621</v>
      </c>
      <c r="E40" s="853"/>
      <c r="F40" s="192" t="s">
        <v>12</v>
      </c>
      <c r="G40" s="784">
        <f>+'MAPA 1-ISKAZ KOLIČINA'!N16</f>
        <v>13</v>
      </c>
      <c r="H40" s="809"/>
      <c r="I40" s="205">
        <f>G40*H40</f>
        <v>0</v>
      </c>
      <c r="J40" s="55"/>
    </row>
    <row r="41" spans="1:10" s="53" customFormat="1" ht="12" customHeight="1">
      <c r="A41" s="126"/>
      <c r="B41" s="13"/>
      <c r="C41" s="354"/>
      <c r="D41" s="239"/>
      <c r="E41" s="853"/>
      <c r="F41" s="192"/>
      <c r="G41" s="784"/>
      <c r="H41" s="809"/>
      <c r="I41" s="176"/>
      <c r="J41" s="55"/>
    </row>
    <row r="42" spans="1:10" s="53" customFormat="1" ht="33.75" customHeight="1">
      <c r="A42" s="126"/>
      <c r="B42" s="13"/>
      <c r="C42" s="354" t="s">
        <v>627</v>
      </c>
      <c r="D42" s="239" t="s">
        <v>986</v>
      </c>
      <c r="E42" s="853"/>
      <c r="F42" s="192"/>
      <c r="G42" s="784"/>
      <c r="H42" s="809"/>
      <c r="I42" s="176"/>
      <c r="J42" s="55"/>
    </row>
    <row r="43" spans="1:10" s="53" customFormat="1" ht="12" customHeight="1">
      <c r="A43" s="126"/>
      <c r="B43" s="13"/>
      <c r="C43" s="354"/>
      <c r="D43" s="239" t="s">
        <v>628</v>
      </c>
      <c r="E43" s="853"/>
      <c r="F43" s="192" t="s">
        <v>0</v>
      </c>
      <c r="G43" s="784">
        <f>+'MAPA 1-ISKAZ KOLIČINA'!O16</f>
        <v>1.6437499999999998</v>
      </c>
      <c r="H43" s="809"/>
      <c r="I43" s="205">
        <f>G43*H43</f>
        <v>0</v>
      </c>
      <c r="J43" s="55"/>
    </row>
    <row r="44" spans="1:10" s="53" customFormat="1" ht="12" customHeight="1">
      <c r="A44" s="126"/>
      <c r="B44" s="13"/>
      <c r="C44" s="354"/>
      <c r="D44" s="239"/>
      <c r="E44" s="853"/>
      <c r="F44" s="192"/>
      <c r="G44" s="784"/>
      <c r="H44" s="809"/>
      <c r="I44" s="176"/>
      <c r="J44" s="55"/>
    </row>
    <row r="45" spans="1:10" s="53" customFormat="1" ht="34.5" customHeight="1">
      <c r="A45" s="126"/>
      <c r="B45" s="13"/>
      <c r="C45" s="354" t="s">
        <v>629</v>
      </c>
      <c r="D45" s="239" t="s">
        <v>987</v>
      </c>
      <c r="E45" s="853"/>
      <c r="F45" s="192"/>
      <c r="G45" s="784"/>
      <c r="H45" s="809"/>
      <c r="I45" s="176"/>
      <c r="J45" s="55"/>
    </row>
    <row r="46" spans="1:10" s="53" customFormat="1" ht="12" customHeight="1">
      <c r="A46" s="126"/>
      <c r="B46" s="13"/>
      <c r="C46" s="354"/>
      <c r="D46" s="239" t="s">
        <v>621</v>
      </c>
      <c r="E46" s="853"/>
      <c r="F46" s="192" t="s">
        <v>12</v>
      </c>
      <c r="G46" s="784">
        <f>+'MAPA 1-ISKAZ KOLIČINA'!P16</f>
        <v>1.8</v>
      </c>
      <c r="H46" s="809"/>
      <c r="I46" s="205">
        <f>G46*H46</f>
        <v>0</v>
      </c>
      <c r="J46" s="55"/>
    </row>
    <row r="47" spans="1:10" s="53" customFormat="1" ht="12" customHeight="1">
      <c r="A47" s="126"/>
      <c r="B47" s="13"/>
      <c r="C47" s="354"/>
      <c r="D47" s="239"/>
      <c r="E47" s="853"/>
      <c r="F47" s="192"/>
      <c r="G47" s="784"/>
      <c r="H47" s="809"/>
      <c r="I47" s="176"/>
      <c r="J47" s="55"/>
    </row>
    <row r="48" spans="1:10" s="53" customFormat="1" ht="29.25" customHeight="1">
      <c r="A48" s="126"/>
      <c r="B48" s="13"/>
      <c r="C48" s="354" t="s">
        <v>630</v>
      </c>
      <c r="D48" s="239" t="s">
        <v>631</v>
      </c>
      <c r="E48" s="853"/>
      <c r="F48" s="192"/>
      <c r="G48" s="784"/>
      <c r="H48" s="809"/>
      <c r="I48" s="176"/>
      <c r="J48" s="55"/>
    </row>
    <row r="49" spans="1:10" s="53" customFormat="1" ht="12" customHeight="1">
      <c r="A49" s="126"/>
      <c r="B49" s="13"/>
      <c r="C49" s="354"/>
      <c r="D49" s="239" t="s">
        <v>621</v>
      </c>
      <c r="E49" s="853"/>
      <c r="F49" s="192" t="s">
        <v>12</v>
      </c>
      <c r="G49" s="784">
        <f>+'MAPA 1-ISKAZ KOLIČINA'!T16</f>
        <v>56.088499999999996</v>
      </c>
      <c r="H49" s="809"/>
      <c r="I49" s="205">
        <f>G49*H49</f>
        <v>0</v>
      </c>
      <c r="J49" s="55"/>
    </row>
    <row r="50" spans="1:10" s="53" customFormat="1" ht="12" customHeight="1">
      <c r="A50" s="126"/>
      <c r="B50" s="13"/>
      <c r="C50" s="354"/>
      <c r="D50" s="239"/>
      <c r="E50" s="853"/>
      <c r="F50" s="192"/>
      <c r="G50" s="784"/>
      <c r="H50" s="809"/>
      <c r="I50" s="176"/>
      <c r="J50" s="55"/>
    </row>
    <row r="51" spans="1:10" s="53" customFormat="1" ht="12" customHeight="1">
      <c r="A51" s="126"/>
      <c r="B51" s="13"/>
      <c r="C51" s="354" t="s">
        <v>632</v>
      </c>
      <c r="D51" s="239" t="s">
        <v>645</v>
      </c>
      <c r="E51" s="853"/>
      <c r="F51" s="192"/>
      <c r="G51" s="784"/>
      <c r="H51" s="809"/>
      <c r="I51" s="176"/>
      <c r="J51" s="55"/>
    </row>
    <row r="52" spans="1:10" s="53" customFormat="1" ht="12" customHeight="1">
      <c r="A52" s="126"/>
      <c r="B52" s="13"/>
      <c r="C52" s="354"/>
      <c r="D52" s="239" t="s">
        <v>634</v>
      </c>
      <c r="E52" s="853"/>
      <c r="F52" s="192"/>
      <c r="G52" s="784"/>
      <c r="H52" s="809"/>
      <c r="I52" s="176"/>
      <c r="J52" s="55"/>
    </row>
    <row r="53" spans="1:10" s="53" customFormat="1" ht="12" customHeight="1">
      <c r="A53" s="126"/>
      <c r="B53" s="13"/>
      <c r="C53" s="354"/>
      <c r="D53" s="239" t="s">
        <v>633</v>
      </c>
      <c r="E53" s="853"/>
      <c r="F53" s="192" t="s">
        <v>11</v>
      </c>
      <c r="G53" s="784">
        <v>2</v>
      </c>
      <c r="H53" s="809"/>
      <c r="I53" s="205">
        <f t="shared" ref="I53:I62" si="2">G53*H53</f>
        <v>0</v>
      </c>
      <c r="J53" s="55"/>
    </row>
    <row r="54" spans="1:10" s="53" customFormat="1" ht="12" customHeight="1">
      <c r="A54" s="126"/>
      <c r="B54" s="13"/>
      <c r="C54" s="354"/>
      <c r="D54" s="239" t="s">
        <v>635</v>
      </c>
      <c r="E54" s="853"/>
      <c r="F54" s="192" t="s">
        <v>11</v>
      </c>
      <c r="G54" s="784">
        <v>1</v>
      </c>
      <c r="H54" s="809"/>
      <c r="I54" s="205">
        <f t="shared" si="2"/>
        <v>0</v>
      </c>
      <c r="J54" s="55"/>
    </row>
    <row r="55" spans="1:10" s="53" customFormat="1" ht="12" customHeight="1">
      <c r="A55" s="126"/>
      <c r="B55" s="13"/>
      <c r="C55" s="354"/>
      <c r="D55" s="239" t="s">
        <v>636</v>
      </c>
      <c r="E55" s="853"/>
      <c r="F55" s="192" t="s">
        <v>11</v>
      </c>
      <c r="G55" s="784">
        <v>3</v>
      </c>
      <c r="H55" s="809"/>
      <c r="I55" s="205">
        <f t="shared" si="2"/>
        <v>0</v>
      </c>
      <c r="J55" s="55"/>
    </row>
    <row r="56" spans="1:10" s="53" customFormat="1" ht="12" customHeight="1">
      <c r="A56" s="126"/>
      <c r="B56" s="13"/>
      <c r="C56" s="354"/>
      <c r="D56" s="239" t="s">
        <v>637</v>
      </c>
      <c r="E56" s="853"/>
      <c r="F56" s="192" t="s">
        <v>11</v>
      </c>
      <c r="G56" s="784">
        <v>1</v>
      </c>
      <c r="H56" s="809"/>
      <c r="I56" s="205">
        <f t="shared" si="2"/>
        <v>0</v>
      </c>
      <c r="J56" s="55"/>
    </row>
    <row r="57" spans="1:10" s="53" customFormat="1" ht="12" customHeight="1">
      <c r="A57" s="126"/>
      <c r="B57" s="13"/>
      <c r="C57" s="354"/>
      <c r="D57" s="239" t="s">
        <v>638</v>
      </c>
      <c r="E57" s="853"/>
      <c r="F57" s="192" t="s">
        <v>11</v>
      </c>
      <c r="G57" s="784">
        <v>1</v>
      </c>
      <c r="H57" s="809"/>
      <c r="I57" s="205">
        <f t="shared" si="2"/>
        <v>0</v>
      </c>
      <c r="J57" s="55"/>
    </row>
    <row r="58" spans="1:10" s="53" customFormat="1" ht="12" customHeight="1">
      <c r="A58" s="126"/>
      <c r="B58" s="13"/>
      <c r="C58" s="354"/>
      <c r="D58" s="239" t="s">
        <v>639</v>
      </c>
      <c r="E58" s="853"/>
      <c r="F58" s="192" t="s">
        <v>11</v>
      </c>
      <c r="G58" s="784">
        <v>1</v>
      </c>
      <c r="H58" s="809"/>
      <c r="I58" s="205">
        <f t="shared" si="2"/>
        <v>0</v>
      </c>
      <c r="J58" s="55"/>
    </row>
    <row r="59" spans="1:10" s="53" customFormat="1" ht="12" customHeight="1">
      <c r="A59" s="126"/>
      <c r="B59" s="13"/>
      <c r="C59" s="354"/>
      <c r="D59" s="239" t="s">
        <v>640</v>
      </c>
      <c r="E59" s="853"/>
      <c r="F59" s="192" t="s">
        <v>11</v>
      </c>
      <c r="G59" s="784">
        <v>1</v>
      </c>
      <c r="H59" s="809"/>
      <c r="I59" s="205">
        <f t="shared" si="2"/>
        <v>0</v>
      </c>
      <c r="J59" s="55"/>
    </row>
    <row r="60" spans="1:10" s="53" customFormat="1" ht="12" customHeight="1">
      <c r="A60" s="126"/>
      <c r="B60" s="13"/>
      <c r="C60" s="354"/>
      <c r="D60" s="239" t="s">
        <v>641</v>
      </c>
      <c r="E60" s="853"/>
      <c r="F60" s="192" t="s">
        <v>11</v>
      </c>
      <c r="G60" s="784">
        <v>1</v>
      </c>
      <c r="H60" s="809"/>
      <c r="I60" s="205">
        <f t="shared" si="2"/>
        <v>0</v>
      </c>
      <c r="J60" s="55"/>
    </row>
    <row r="61" spans="1:10" s="53" customFormat="1" ht="12" customHeight="1">
      <c r="A61" s="126"/>
      <c r="B61" s="13"/>
      <c r="C61" s="354"/>
      <c r="D61" s="239" t="s">
        <v>642</v>
      </c>
      <c r="E61" s="853"/>
      <c r="F61" s="192" t="s">
        <v>11</v>
      </c>
      <c r="G61" s="784">
        <v>4</v>
      </c>
      <c r="H61" s="809"/>
      <c r="I61" s="205">
        <f t="shared" si="2"/>
        <v>0</v>
      </c>
      <c r="J61" s="55"/>
    </row>
    <row r="62" spans="1:10" s="53" customFormat="1" ht="12" customHeight="1">
      <c r="A62" s="126"/>
      <c r="B62" s="13"/>
      <c r="C62" s="354"/>
      <c r="D62" s="239" t="s">
        <v>643</v>
      </c>
      <c r="E62" s="853"/>
      <c r="F62" s="192" t="s">
        <v>11</v>
      </c>
      <c r="G62" s="784">
        <v>1</v>
      </c>
      <c r="H62" s="809"/>
      <c r="I62" s="205">
        <f t="shared" si="2"/>
        <v>0</v>
      </c>
      <c r="J62" s="55"/>
    </row>
    <row r="63" spans="1:10" s="53" customFormat="1" ht="12" customHeight="1">
      <c r="A63" s="126"/>
      <c r="B63" s="13"/>
      <c r="C63" s="354"/>
      <c r="D63" s="239"/>
      <c r="E63" s="853"/>
      <c r="F63" s="192"/>
      <c r="G63" s="784"/>
      <c r="H63" s="809"/>
      <c r="I63" s="176"/>
      <c r="J63" s="55"/>
    </row>
    <row r="64" spans="1:10" s="53" customFormat="1" ht="12" customHeight="1">
      <c r="A64" s="126"/>
      <c r="B64" s="13"/>
      <c r="C64" s="354" t="s">
        <v>644</v>
      </c>
      <c r="D64" s="239" t="s">
        <v>994</v>
      </c>
      <c r="E64" s="853"/>
      <c r="F64" s="192"/>
      <c r="G64" s="784"/>
      <c r="H64" s="809"/>
      <c r="I64" s="176"/>
      <c r="J64" s="55"/>
    </row>
    <row r="65" spans="1:10" s="53" customFormat="1" ht="12" customHeight="1">
      <c r="A65" s="126"/>
      <c r="B65" s="13"/>
      <c r="C65" s="354"/>
      <c r="D65" s="239" t="s">
        <v>634</v>
      </c>
      <c r="E65" s="853"/>
      <c r="F65" s="192"/>
      <c r="G65" s="784"/>
      <c r="H65" s="809"/>
      <c r="I65" s="176"/>
      <c r="J65" s="55"/>
    </row>
    <row r="66" spans="1:10" s="53" customFormat="1" ht="12" customHeight="1">
      <c r="A66" s="126"/>
      <c r="B66" s="13"/>
      <c r="C66" s="354"/>
      <c r="D66" s="239" t="s">
        <v>646</v>
      </c>
      <c r="E66" s="853"/>
      <c r="F66" s="192" t="s">
        <v>11</v>
      </c>
      <c r="G66" s="784">
        <v>2</v>
      </c>
      <c r="H66" s="809"/>
      <c r="I66" s="205">
        <f t="shared" ref="I66:I67" si="3">G66*H66</f>
        <v>0</v>
      </c>
      <c r="J66" s="55"/>
    </row>
    <row r="67" spans="1:10" s="53" customFormat="1" ht="12" customHeight="1">
      <c r="A67" s="126"/>
      <c r="B67" s="13"/>
      <c r="C67" s="354"/>
      <c r="D67" s="239" t="s">
        <v>647</v>
      </c>
      <c r="E67" s="853"/>
      <c r="F67" s="192" t="s">
        <v>11</v>
      </c>
      <c r="G67" s="784">
        <v>2</v>
      </c>
      <c r="H67" s="809"/>
      <c r="I67" s="205">
        <f t="shared" si="3"/>
        <v>0</v>
      </c>
      <c r="J67" s="55"/>
    </row>
    <row r="68" spans="1:10" s="53" customFormat="1" ht="12" customHeight="1">
      <c r="A68" s="126"/>
      <c r="B68" s="13"/>
      <c r="C68" s="354"/>
      <c r="D68" s="239"/>
      <c r="E68" s="853"/>
      <c r="F68" s="192"/>
      <c r="G68" s="784"/>
      <c r="H68" s="809"/>
      <c r="I68" s="176"/>
      <c r="J68" s="55"/>
    </row>
    <row r="69" spans="1:10" s="53" customFormat="1" ht="12" customHeight="1">
      <c r="A69" s="126"/>
      <c r="B69" s="13"/>
      <c r="C69" s="354" t="s">
        <v>650</v>
      </c>
      <c r="D69" s="239" t="s">
        <v>648</v>
      </c>
      <c r="E69" s="853"/>
      <c r="F69" s="192"/>
      <c r="G69" s="784"/>
      <c r="H69" s="809"/>
      <c r="I69" s="176"/>
      <c r="J69" s="55"/>
    </row>
    <row r="70" spans="1:10" s="53" customFormat="1" ht="12" customHeight="1">
      <c r="A70" s="126"/>
      <c r="B70" s="13"/>
      <c r="C70" s="354"/>
      <c r="D70" s="239" t="s">
        <v>649</v>
      </c>
      <c r="E70" s="853"/>
      <c r="F70" s="192" t="s">
        <v>21</v>
      </c>
      <c r="G70" s="784">
        <v>1</v>
      </c>
      <c r="H70" s="809"/>
      <c r="I70" s="47">
        <f>G70*H70</f>
        <v>0</v>
      </c>
      <c r="J70" s="55"/>
    </row>
    <row r="71" spans="1:10" s="53" customFormat="1" ht="12" customHeight="1">
      <c r="A71" s="126"/>
      <c r="B71" s="13"/>
      <c r="C71" s="354"/>
      <c r="D71" s="239"/>
      <c r="E71" s="853"/>
      <c r="F71" s="192"/>
      <c r="G71" s="784"/>
      <c r="H71" s="809"/>
      <c r="I71" s="176"/>
      <c r="J71" s="55"/>
    </row>
    <row r="72" spans="1:10" s="53" customFormat="1" ht="27.75" customHeight="1">
      <c r="A72" s="126"/>
      <c r="B72" s="13"/>
      <c r="C72" s="354" t="s">
        <v>651</v>
      </c>
      <c r="D72" s="239" t="s">
        <v>804</v>
      </c>
      <c r="E72" s="853"/>
      <c r="F72" s="192"/>
      <c r="G72" s="784"/>
      <c r="H72" s="809"/>
      <c r="I72" s="176"/>
      <c r="J72" s="55"/>
    </row>
    <row r="73" spans="1:10" s="53" customFormat="1" ht="12" customHeight="1">
      <c r="A73" s="126"/>
      <c r="B73" s="13"/>
      <c r="C73" s="354"/>
      <c r="D73" s="239" t="s">
        <v>649</v>
      </c>
      <c r="E73" s="853"/>
      <c r="F73" s="192" t="s">
        <v>21</v>
      </c>
      <c r="G73" s="784">
        <v>1</v>
      </c>
      <c r="H73" s="809"/>
      <c r="I73" s="47">
        <f>G73*H73</f>
        <v>0</v>
      </c>
      <c r="J73" s="55"/>
    </row>
    <row r="74" spans="1:10" s="53" customFormat="1" ht="12" customHeight="1">
      <c r="A74" s="126"/>
      <c r="B74" s="13"/>
      <c r="C74" s="354"/>
      <c r="D74" s="239"/>
      <c r="E74" s="853"/>
      <c r="F74" s="192"/>
      <c r="G74" s="784"/>
      <c r="H74" s="809"/>
      <c r="I74" s="176"/>
      <c r="J74" s="55"/>
    </row>
    <row r="75" spans="1:10" s="53" customFormat="1" ht="12" customHeight="1">
      <c r="A75" s="126"/>
      <c r="B75" s="13"/>
      <c r="C75" s="354" t="s">
        <v>652</v>
      </c>
      <c r="D75" s="239" t="s">
        <v>823</v>
      </c>
      <c r="E75" s="853"/>
      <c r="F75" s="192"/>
      <c r="G75" s="784"/>
      <c r="H75" s="809"/>
      <c r="I75" s="176"/>
      <c r="J75" s="55"/>
    </row>
    <row r="76" spans="1:10" s="53" customFormat="1" ht="12" customHeight="1">
      <c r="A76" s="126"/>
      <c r="B76" s="13"/>
      <c r="C76" s="354"/>
      <c r="D76" s="239" t="s">
        <v>649</v>
      </c>
      <c r="E76" s="853"/>
      <c r="F76" s="192" t="s">
        <v>21</v>
      </c>
      <c r="G76" s="784">
        <v>1</v>
      </c>
      <c r="H76" s="809"/>
      <c r="I76" s="47">
        <f>G76*H76</f>
        <v>0</v>
      </c>
      <c r="J76" s="55"/>
    </row>
    <row r="77" spans="1:10" s="53" customFormat="1" ht="12" customHeight="1">
      <c r="A77" s="126"/>
      <c r="B77" s="13"/>
      <c r="C77" s="354"/>
      <c r="D77" s="239"/>
      <c r="E77" s="853"/>
      <c r="F77" s="192"/>
      <c r="G77" s="784"/>
      <c r="H77" s="809"/>
      <c r="I77" s="176"/>
      <c r="J77" s="55"/>
    </row>
    <row r="78" spans="1:10" s="53" customFormat="1" ht="12" customHeight="1">
      <c r="A78" s="126"/>
      <c r="B78" s="13"/>
      <c r="C78" s="354" t="s">
        <v>661</v>
      </c>
      <c r="D78" s="239" t="s">
        <v>657</v>
      </c>
      <c r="E78" s="853"/>
      <c r="F78" s="192"/>
      <c r="G78" s="784"/>
      <c r="H78" s="809"/>
      <c r="I78" s="176"/>
      <c r="J78" s="55"/>
    </row>
    <row r="79" spans="1:10" s="53" customFormat="1" ht="12" customHeight="1">
      <c r="A79" s="126"/>
      <c r="B79" s="13"/>
      <c r="C79" s="354"/>
      <c r="D79" s="239" t="s">
        <v>658</v>
      </c>
      <c r="E79" s="853"/>
      <c r="F79" s="192" t="s">
        <v>21</v>
      </c>
      <c r="G79" s="784">
        <v>1</v>
      </c>
      <c r="H79" s="809"/>
      <c r="I79" s="47">
        <f t="shared" ref="I79:I82" si="4">G79*H79</f>
        <v>0</v>
      </c>
      <c r="J79" s="55"/>
    </row>
    <row r="80" spans="1:10" s="53" customFormat="1" ht="12" customHeight="1">
      <c r="A80" s="126"/>
      <c r="B80" s="13"/>
      <c r="C80" s="354"/>
      <c r="D80" s="239" t="s">
        <v>653</v>
      </c>
      <c r="E80" s="853"/>
      <c r="F80" s="192" t="s">
        <v>21</v>
      </c>
      <c r="G80" s="784">
        <v>2</v>
      </c>
      <c r="H80" s="809"/>
      <c r="I80" s="47">
        <f t="shared" si="4"/>
        <v>0</v>
      </c>
      <c r="J80" s="55"/>
    </row>
    <row r="81" spans="1:10" s="53" customFormat="1" ht="12" customHeight="1">
      <c r="A81" s="126"/>
      <c r="B81" s="13"/>
      <c r="C81" s="354"/>
      <c r="D81" s="239" t="s">
        <v>654</v>
      </c>
      <c r="E81" s="853"/>
      <c r="F81" s="192" t="s">
        <v>655</v>
      </c>
      <c r="G81" s="784">
        <v>12</v>
      </c>
      <c r="H81" s="809"/>
      <c r="I81" s="47">
        <f t="shared" si="4"/>
        <v>0</v>
      </c>
      <c r="J81" s="55"/>
    </row>
    <row r="82" spans="1:10" s="53" customFormat="1" ht="12" customHeight="1">
      <c r="A82" s="126"/>
      <c r="B82" s="13"/>
      <c r="C82" s="354"/>
      <c r="D82" s="239" t="s">
        <v>656</v>
      </c>
      <c r="E82" s="853"/>
      <c r="F82" s="192" t="s">
        <v>11</v>
      </c>
      <c r="G82" s="784">
        <v>6</v>
      </c>
      <c r="H82" s="809"/>
      <c r="I82" s="47">
        <f t="shared" si="4"/>
        <v>0</v>
      </c>
      <c r="J82" s="55"/>
    </row>
    <row r="83" spans="1:10" s="53" customFormat="1" ht="12" customHeight="1">
      <c r="A83" s="126"/>
      <c r="B83" s="13"/>
      <c r="C83" s="354"/>
      <c r="D83" s="239"/>
      <c r="E83" s="853"/>
      <c r="F83" s="192"/>
      <c r="G83" s="784"/>
      <c r="H83" s="809"/>
      <c r="I83" s="176"/>
      <c r="J83" s="55"/>
    </row>
    <row r="84" spans="1:10" s="53" customFormat="1" ht="12" customHeight="1">
      <c r="A84" s="126"/>
      <c r="B84" s="13"/>
      <c r="C84" s="354" t="s">
        <v>662</v>
      </c>
      <c r="D84" s="239" t="s">
        <v>659</v>
      </c>
      <c r="E84" s="853"/>
      <c r="F84" s="192"/>
      <c r="G84" s="784"/>
      <c r="H84" s="809"/>
      <c r="I84" s="176"/>
      <c r="J84" s="55"/>
    </row>
    <row r="85" spans="1:10" s="53" customFormat="1" ht="12" customHeight="1">
      <c r="A85" s="126"/>
      <c r="B85" s="13"/>
      <c r="C85" s="354"/>
      <c r="D85" s="239" t="s">
        <v>660</v>
      </c>
      <c r="E85" s="853"/>
      <c r="F85" s="192" t="s">
        <v>12</v>
      </c>
      <c r="G85" s="784">
        <f>+'MAPA 1-ISKAZ KOLIČINA'!Z16</f>
        <v>64</v>
      </c>
      <c r="H85" s="809"/>
      <c r="I85" s="47">
        <f>G85*H85</f>
        <v>0</v>
      </c>
      <c r="J85" s="55"/>
    </row>
    <row r="86" spans="1:10" s="53" customFormat="1" ht="12" customHeight="1">
      <c r="A86" s="126"/>
      <c r="B86" s="13"/>
      <c r="C86" s="354"/>
      <c r="D86" s="239"/>
      <c r="E86" s="853"/>
      <c r="F86" s="192"/>
      <c r="G86" s="784"/>
      <c r="H86" s="809"/>
      <c r="I86" s="47"/>
      <c r="J86" s="55"/>
    </row>
    <row r="87" spans="1:10" s="53" customFormat="1" ht="12" customHeight="1">
      <c r="A87" s="126"/>
      <c r="B87" s="13"/>
      <c r="C87" s="354" t="s">
        <v>663</v>
      </c>
      <c r="D87" s="239" t="s">
        <v>806</v>
      </c>
      <c r="E87" s="853"/>
      <c r="F87" s="192"/>
      <c r="G87" s="784"/>
      <c r="H87" s="809"/>
      <c r="I87" s="176"/>
      <c r="J87" s="55"/>
    </row>
    <row r="88" spans="1:10" s="53" customFormat="1" ht="15" customHeight="1">
      <c r="A88" s="126"/>
      <c r="B88" s="13"/>
      <c r="C88" s="354"/>
      <c r="D88" s="239" t="s">
        <v>805</v>
      </c>
      <c r="E88" s="853"/>
      <c r="F88" s="192" t="s">
        <v>21</v>
      </c>
      <c r="G88" s="784">
        <v>1</v>
      </c>
      <c r="H88" s="809"/>
      <c r="I88" s="176">
        <f>G88*H88</f>
        <v>0</v>
      </c>
      <c r="J88" s="55"/>
    </row>
    <row r="89" spans="1:10" s="53" customFormat="1" ht="12" customHeight="1">
      <c r="A89" s="126"/>
      <c r="B89" s="13"/>
      <c r="C89" s="354"/>
      <c r="D89" s="239"/>
      <c r="E89" s="853"/>
      <c r="F89" s="192"/>
      <c r="G89" s="784"/>
      <c r="H89" s="809"/>
      <c r="I89" s="176"/>
      <c r="J89" s="55"/>
    </row>
    <row r="90" spans="1:10" s="53" customFormat="1" ht="30" customHeight="1">
      <c r="A90" s="126"/>
      <c r="B90" s="13"/>
      <c r="C90" s="354" t="s">
        <v>822</v>
      </c>
      <c r="D90" s="239" t="s">
        <v>871</v>
      </c>
      <c r="E90" s="853"/>
      <c r="F90" s="192"/>
      <c r="G90" s="784"/>
      <c r="H90" s="809"/>
      <c r="I90" s="176"/>
      <c r="J90" s="55"/>
    </row>
    <row r="91" spans="1:10" s="53" customFormat="1">
      <c r="A91" s="126"/>
      <c r="B91" s="13"/>
      <c r="C91" s="354"/>
      <c r="D91" s="239" t="s">
        <v>805</v>
      </c>
      <c r="E91" s="853"/>
      <c r="F91" s="192" t="s">
        <v>21</v>
      </c>
      <c r="G91" s="784">
        <v>1</v>
      </c>
      <c r="H91" s="809"/>
      <c r="I91" s="176">
        <f>G91*H91</f>
        <v>0</v>
      </c>
      <c r="J91" s="55"/>
    </row>
    <row r="92" spans="1:10" s="53" customFormat="1">
      <c r="A92" s="126"/>
      <c r="B92" s="13"/>
      <c r="C92" s="354"/>
      <c r="D92" s="239"/>
      <c r="E92" s="853"/>
      <c r="F92" s="192"/>
      <c r="G92" s="784"/>
      <c r="H92" s="809"/>
      <c r="I92" s="176"/>
      <c r="J92" s="55"/>
    </row>
    <row r="93" spans="1:10" s="53" customFormat="1" ht="30.75" customHeight="1">
      <c r="A93" s="126"/>
      <c r="B93" s="13"/>
      <c r="C93" s="354" t="s">
        <v>870</v>
      </c>
      <c r="D93" s="239" t="s">
        <v>1061</v>
      </c>
      <c r="E93" s="853"/>
      <c r="F93" s="192"/>
      <c r="G93" s="784"/>
      <c r="H93" s="809"/>
      <c r="I93" s="176"/>
      <c r="J93" s="55"/>
    </row>
    <row r="94" spans="1:10" s="53" customFormat="1">
      <c r="A94" s="126"/>
      <c r="B94" s="13"/>
      <c r="C94" s="354"/>
      <c r="D94" s="239" t="s">
        <v>805</v>
      </c>
      <c r="E94" s="853"/>
      <c r="F94" s="192" t="s">
        <v>12</v>
      </c>
      <c r="G94" s="784">
        <v>1100</v>
      </c>
      <c r="H94" s="809"/>
      <c r="I94" s="176">
        <f>G94*H94</f>
        <v>0</v>
      </c>
      <c r="J94" s="366"/>
    </row>
    <row r="95" spans="1:10" s="53" customFormat="1">
      <c r="A95" s="126"/>
      <c r="B95" s="13"/>
      <c r="C95" s="354"/>
      <c r="D95" s="239"/>
      <c r="E95" s="853"/>
      <c r="F95" s="192"/>
      <c r="G95" s="784"/>
      <c r="H95" s="809"/>
      <c r="I95" s="176"/>
      <c r="J95" s="366"/>
    </row>
    <row r="96" spans="1:10" s="53" customFormat="1" ht="30.75" customHeight="1">
      <c r="A96" s="126"/>
      <c r="B96" s="13"/>
      <c r="C96" s="354" t="s">
        <v>873</v>
      </c>
      <c r="D96" s="239" t="s">
        <v>1060</v>
      </c>
      <c r="E96" s="853"/>
      <c r="F96" s="192"/>
      <c r="G96" s="784"/>
      <c r="H96" s="809"/>
      <c r="I96" s="176"/>
      <c r="J96" s="55"/>
    </row>
    <row r="97" spans="1:11" s="53" customFormat="1">
      <c r="A97" s="126"/>
      <c r="B97" s="13"/>
      <c r="C97" s="354"/>
      <c r="D97" s="239" t="s">
        <v>805</v>
      </c>
      <c r="E97" s="853"/>
      <c r="F97" s="192" t="s">
        <v>0</v>
      </c>
      <c r="G97" s="784">
        <f>200+290</f>
        <v>490</v>
      </c>
      <c r="H97" s="809"/>
      <c r="I97" s="176">
        <f>G97*H97</f>
        <v>0</v>
      </c>
      <c r="J97" s="366"/>
    </row>
    <row r="98" spans="1:11" s="53" customFormat="1">
      <c r="A98" s="126"/>
      <c r="B98" s="13"/>
      <c r="C98" s="354"/>
      <c r="D98" s="239"/>
      <c r="E98" s="853"/>
      <c r="F98" s="192"/>
      <c r="G98" s="784"/>
      <c r="H98" s="809"/>
      <c r="I98" s="176"/>
      <c r="J98" s="366"/>
    </row>
    <row r="99" spans="1:11" ht="33.75" customHeight="1">
      <c r="A99" s="126" t="str">
        <f t="shared" ref="A99" si="5">$C$11</f>
        <v>A1</v>
      </c>
      <c r="B99" s="13">
        <v>10</v>
      </c>
      <c r="C99" s="202" t="s">
        <v>1058</v>
      </c>
      <c r="D99" s="341" t="s">
        <v>1094</v>
      </c>
      <c r="E99" s="855"/>
      <c r="F99" s="192"/>
      <c r="G99" s="784"/>
      <c r="H99" s="809"/>
      <c r="I99" s="176"/>
    </row>
    <row r="100" spans="1:11" ht="12" customHeight="1">
      <c r="A100" s="126"/>
      <c r="C100" s="202"/>
      <c r="D100" s="208" t="s">
        <v>706</v>
      </c>
      <c r="E100" s="856"/>
      <c r="F100" s="192" t="s">
        <v>8</v>
      </c>
      <c r="G100" s="784">
        <f>(30+14+8)</f>
        <v>52</v>
      </c>
      <c r="H100" s="809"/>
      <c r="I100" s="176">
        <f>G100*H100</f>
        <v>0</v>
      </c>
    </row>
    <row r="101" spans="1:11" s="53" customFormat="1">
      <c r="A101" s="126"/>
      <c r="B101" s="13"/>
      <c r="C101" s="354"/>
      <c r="D101" s="239"/>
      <c r="E101" s="853"/>
      <c r="F101" s="192"/>
      <c r="G101" s="784"/>
      <c r="H101" s="809"/>
      <c r="I101" s="176"/>
      <c r="J101" s="366"/>
    </row>
    <row r="102" spans="1:11" s="49" customFormat="1" ht="116.25" customHeight="1">
      <c r="A102" s="126" t="str">
        <f t="shared" si="0"/>
        <v>A1</v>
      </c>
      <c r="B102" s="13">
        <f t="shared" si="1"/>
        <v>1</v>
      </c>
      <c r="C102" s="354" t="s">
        <v>1059</v>
      </c>
      <c r="D102" s="180" t="s">
        <v>60</v>
      </c>
      <c r="E102" s="857"/>
      <c r="F102" s="177"/>
      <c r="G102" s="786"/>
      <c r="H102" s="787"/>
      <c r="I102" s="159">
        <f>G102*H102</f>
        <v>0</v>
      </c>
      <c r="J102" s="178"/>
      <c r="K102" s="161"/>
    </row>
    <row r="103" spans="1:11" s="49" customFormat="1">
      <c r="A103" s="126" t="str">
        <f t="shared" si="0"/>
        <v>A1</v>
      </c>
      <c r="B103" s="13">
        <f t="shared" si="1"/>
        <v>1</v>
      </c>
      <c r="C103" s="130"/>
      <c r="D103" s="180" t="s">
        <v>61</v>
      </c>
      <c r="E103" s="857"/>
      <c r="F103" s="177"/>
      <c r="G103" s="786"/>
      <c r="H103" s="787"/>
      <c r="I103" s="159"/>
      <c r="J103" s="178"/>
      <c r="K103" s="161"/>
    </row>
    <row r="104" spans="1:11" s="49" customFormat="1">
      <c r="A104" s="126" t="str">
        <f t="shared" si="0"/>
        <v>A1</v>
      </c>
      <c r="B104" s="13">
        <f t="shared" si="1"/>
        <v>1</v>
      </c>
      <c r="C104" s="179"/>
      <c r="D104" s="180" t="s">
        <v>57</v>
      </c>
      <c r="E104" s="857"/>
      <c r="F104" s="183" t="s">
        <v>58</v>
      </c>
      <c r="G104" s="401">
        <v>50</v>
      </c>
      <c r="H104" s="788"/>
      <c r="I104" s="47">
        <f>G104*H104</f>
        <v>0</v>
      </c>
      <c r="J104" s="178"/>
      <c r="K104" s="161"/>
    </row>
    <row r="105" spans="1:11" s="49" customFormat="1">
      <c r="A105" s="126" t="str">
        <f t="shared" si="0"/>
        <v>A1</v>
      </c>
      <c r="B105" s="13">
        <f t="shared" si="1"/>
        <v>1</v>
      </c>
      <c r="C105" s="179"/>
      <c r="D105" s="180" t="s">
        <v>59</v>
      </c>
      <c r="E105" s="857"/>
      <c r="F105" s="183" t="s">
        <v>58</v>
      </c>
      <c r="G105" s="401">
        <v>50</v>
      </c>
      <c r="H105" s="788"/>
      <c r="I105" s="47">
        <f>G105*H105</f>
        <v>0</v>
      </c>
      <c r="J105" s="178"/>
      <c r="K105" s="161"/>
    </row>
    <row r="106" spans="1:11" s="53" customFormat="1" ht="12" customHeight="1">
      <c r="A106" s="126" t="str">
        <f t="shared" si="0"/>
        <v>A1</v>
      </c>
      <c r="B106" s="13">
        <f t="shared" si="1"/>
        <v>1</v>
      </c>
      <c r="C106" s="130"/>
      <c r="D106" s="113"/>
      <c r="E106" s="858"/>
      <c r="F106" s="834"/>
      <c r="G106" s="339"/>
      <c r="H106" s="789"/>
      <c r="I106" s="144"/>
      <c r="J106" s="55"/>
    </row>
    <row r="107" spans="1:11" s="49" customFormat="1" ht="12" customHeight="1">
      <c r="A107" s="126" t="str">
        <f t="shared" si="0"/>
        <v>A1</v>
      </c>
      <c r="B107" s="13">
        <f t="shared" si="1"/>
        <v>1</v>
      </c>
      <c r="C107" s="131">
        <f>C13</f>
        <v>1</v>
      </c>
      <c r="D107" s="184" t="str">
        <f>D13</f>
        <v>DEMONTAŽE, RUŠENJA I PRIPREMNI RADOVI</v>
      </c>
      <c r="E107" s="859"/>
      <c r="F107" s="835" t="s">
        <v>2</v>
      </c>
      <c r="G107" s="791"/>
      <c r="H107" s="792"/>
      <c r="I107" s="153">
        <f>SUM(I14:I106)</f>
        <v>0</v>
      </c>
      <c r="J107" s="48"/>
    </row>
    <row r="108" spans="1:11" s="49" customFormat="1" ht="12" customHeight="1">
      <c r="A108" s="126" t="str">
        <f t="shared" si="0"/>
        <v>A1</v>
      </c>
      <c r="B108" s="13"/>
      <c r="C108" s="132"/>
      <c r="D108" s="166"/>
      <c r="E108" s="860"/>
      <c r="F108" s="836"/>
      <c r="G108" s="790"/>
      <c r="H108" s="789"/>
      <c r="I108" s="145"/>
      <c r="J108" s="48"/>
    </row>
    <row r="109" spans="1:11" s="49" customFormat="1" ht="12" customHeight="1">
      <c r="A109" s="126" t="str">
        <f t="shared" si="0"/>
        <v>A1</v>
      </c>
      <c r="B109" s="13"/>
      <c r="C109" s="128"/>
      <c r="D109" s="185"/>
      <c r="E109" s="861"/>
      <c r="F109" s="837"/>
      <c r="G109" s="790"/>
      <c r="H109" s="789"/>
      <c r="I109" s="144"/>
      <c r="J109" s="48"/>
    </row>
    <row r="110" spans="1:11" s="49" customFormat="1" ht="12" customHeight="1">
      <c r="A110" s="126" t="str">
        <f t="shared" si="0"/>
        <v>A1</v>
      </c>
      <c r="B110" s="13">
        <f t="shared" ref="B110:B121" si="6">$C$110</f>
        <v>2</v>
      </c>
      <c r="C110" s="125">
        <v>2</v>
      </c>
      <c r="D110" s="186" t="s">
        <v>18</v>
      </c>
      <c r="E110" s="862"/>
      <c r="F110" s="838"/>
      <c r="G110" s="793"/>
      <c r="H110" s="794"/>
      <c r="I110" s="154"/>
      <c r="J110" s="48"/>
    </row>
    <row r="111" spans="1:11" s="49" customFormat="1" ht="12" customHeight="1">
      <c r="A111" s="126" t="str">
        <f t="shared" si="0"/>
        <v>A1</v>
      </c>
      <c r="B111" s="13">
        <f t="shared" si="6"/>
        <v>2</v>
      </c>
      <c r="C111" s="132"/>
      <c r="D111" s="164"/>
      <c r="E111" s="863"/>
      <c r="F111" s="837"/>
      <c r="G111" s="790"/>
      <c r="H111" s="789"/>
      <c r="I111" s="144"/>
      <c r="J111" s="48"/>
    </row>
    <row r="112" spans="1:11" s="49" customFormat="1" ht="38.25">
      <c r="A112" s="126" t="str">
        <f t="shared" si="0"/>
        <v>A1</v>
      </c>
      <c r="B112" s="13">
        <f t="shared" si="6"/>
        <v>2</v>
      </c>
      <c r="C112" s="173" t="s">
        <v>62</v>
      </c>
      <c r="D112" s="174" t="s">
        <v>1057</v>
      </c>
      <c r="E112" s="853"/>
      <c r="F112" s="783"/>
      <c r="G112" s="710"/>
      <c r="H112" s="810"/>
      <c r="I112" s="205"/>
      <c r="J112" s="48"/>
    </row>
    <row r="113" spans="1:11" s="49" customFormat="1">
      <c r="A113" s="126" t="str">
        <f t="shared" si="0"/>
        <v>A1</v>
      </c>
      <c r="B113" s="13">
        <f t="shared" si="6"/>
        <v>2</v>
      </c>
      <c r="C113" s="173"/>
      <c r="D113" s="174" t="s">
        <v>442</v>
      </c>
      <c r="E113" s="853"/>
      <c r="F113" s="192" t="s">
        <v>12</v>
      </c>
      <c r="G113" s="784">
        <v>60</v>
      </c>
      <c r="H113" s="788"/>
      <c r="I113" s="176">
        <f>G113*H113</f>
        <v>0</v>
      </c>
      <c r="J113" s="48"/>
    </row>
    <row r="114" spans="1:11" s="49" customFormat="1" ht="12" customHeight="1">
      <c r="A114" s="126" t="str">
        <f t="shared" si="0"/>
        <v>A1</v>
      </c>
      <c r="B114" s="13">
        <f t="shared" si="6"/>
        <v>2</v>
      </c>
      <c r="C114" s="173"/>
      <c r="D114" s="187"/>
      <c r="E114" s="864"/>
      <c r="F114" s="192"/>
      <c r="G114" s="784"/>
      <c r="H114" s="809"/>
      <c r="I114" s="176"/>
      <c r="J114" s="52"/>
    </row>
    <row r="115" spans="1:11" s="49" customFormat="1" ht="43.9" customHeight="1">
      <c r="A115" s="126" t="str">
        <f t="shared" si="0"/>
        <v>A1</v>
      </c>
      <c r="B115" s="13">
        <f t="shared" si="6"/>
        <v>2</v>
      </c>
      <c r="C115" s="173" t="s">
        <v>63</v>
      </c>
      <c r="D115" s="234" t="s">
        <v>469</v>
      </c>
      <c r="E115" s="853"/>
      <c r="F115" s="783"/>
      <c r="G115" s="710"/>
      <c r="H115" s="810"/>
      <c r="I115" s="205"/>
      <c r="J115" s="160"/>
    </row>
    <row r="116" spans="1:11" s="49" customFormat="1">
      <c r="A116" s="126" t="str">
        <f t="shared" si="0"/>
        <v>A1</v>
      </c>
      <c r="B116" s="13">
        <f t="shared" si="6"/>
        <v>2</v>
      </c>
      <c r="C116" s="173"/>
      <c r="D116" s="174" t="s">
        <v>64</v>
      </c>
      <c r="E116" s="853"/>
      <c r="F116" s="192" t="s">
        <v>0</v>
      </c>
      <c r="G116" s="784">
        <f>+'MAPA 1-ISKAZ KOLIČINA'!AB16</f>
        <v>45.634500000000003</v>
      </c>
      <c r="H116" s="809"/>
      <c r="I116" s="176">
        <f>G116*H116</f>
        <v>0</v>
      </c>
      <c r="J116" s="160"/>
    </row>
    <row r="117" spans="1:11" s="49" customFormat="1" ht="12" customHeight="1">
      <c r="A117" s="126" t="str">
        <f t="shared" si="0"/>
        <v>A1</v>
      </c>
      <c r="B117" s="13">
        <f t="shared" si="6"/>
        <v>2</v>
      </c>
      <c r="D117" s="166"/>
      <c r="E117" s="860"/>
      <c r="F117" s="837"/>
      <c r="G117" s="790"/>
      <c r="H117" s="789"/>
      <c r="I117" s="144"/>
      <c r="J117" s="48"/>
    </row>
    <row r="118" spans="1:11" s="49" customFormat="1" ht="63.75">
      <c r="A118" s="126"/>
      <c r="B118" s="13"/>
      <c r="C118" s="173" t="s">
        <v>466</v>
      </c>
      <c r="D118" s="239" t="s">
        <v>1093</v>
      </c>
      <c r="E118" s="853"/>
      <c r="F118" s="837"/>
      <c r="G118" s="790"/>
      <c r="H118" s="789"/>
      <c r="I118" s="144"/>
      <c r="J118" s="48"/>
    </row>
    <row r="119" spans="1:11" s="49" customFormat="1" ht="12" customHeight="1">
      <c r="A119" s="126"/>
      <c r="B119" s="13"/>
      <c r="D119" s="239" t="s">
        <v>467</v>
      </c>
      <c r="E119" s="853"/>
      <c r="F119" s="837" t="s">
        <v>0</v>
      </c>
      <c r="G119" s="790">
        <f>(1100+200+290)*0.3</f>
        <v>477</v>
      </c>
      <c r="H119" s="789"/>
      <c r="I119" s="176">
        <f>G119*H119</f>
        <v>0</v>
      </c>
      <c r="J119" s="48"/>
    </row>
    <row r="120" spans="1:11" s="49" customFormat="1" ht="12" customHeight="1">
      <c r="A120" s="126"/>
      <c r="B120" s="13"/>
      <c r="D120" s="166"/>
      <c r="E120" s="860"/>
      <c r="F120" s="837"/>
      <c r="G120" s="790"/>
      <c r="H120" s="789"/>
      <c r="I120" s="144"/>
      <c r="J120" s="48"/>
    </row>
    <row r="121" spans="1:11" s="49" customFormat="1" ht="12" customHeight="1">
      <c r="A121" s="126" t="str">
        <f t="shared" si="0"/>
        <v>A1</v>
      </c>
      <c r="B121" s="13">
        <f t="shared" si="6"/>
        <v>2</v>
      </c>
      <c r="C121" s="189">
        <f>C110</f>
        <v>2</v>
      </c>
      <c r="D121" s="184" t="str">
        <f>D110</f>
        <v>ZEMLJANI RADOVI</v>
      </c>
      <c r="E121" s="859"/>
      <c r="F121" s="835" t="s">
        <v>2</v>
      </c>
      <c r="G121" s="791"/>
      <c r="H121" s="792"/>
      <c r="I121" s="153">
        <f>SUM(I111:I119)</f>
        <v>0</v>
      </c>
      <c r="J121" s="48"/>
    </row>
    <row r="122" spans="1:11" s="49" customFormat="1" ht="12" customHeight="1">
      <c r="A122" s="126" t="str">
        <f t="shared" si="0"/>
        <v>A1</v>
      </c>
      <c r="B122" s="13"/>
      <c r="C122" s="163"/>
      <c r="D122" s="166"/>
      <c r="E122" s="860"/>
      <c r="F122" s="837"/>
      <c r="G122" s="790"/>
      <c r="H122" s="789"/>
      <c r="I122" s="144"/>
      <c r="J122" s="48"/>
    </row>
    <row r="123" spans="1:11" s="49" customFormat="1" ht="11.25" customHeight="1">
      <c r="A123" s="126" t="str">
        <f t="shared" si="0"/>
        <v>A1</v>
      </c>
      <c r="B123" s="13"/>
      <c r="C123" s="163"/>
      <c r="D123" s="166"/>
      <c r="E123" s="860"/>
      <c r="F123" s="837"/>
      <c r="G123" s="790"/>
      <c r="H123" s="789"/>
      <c r="I123" s="144"/>
      <c r="J123" s="48"/>
    </row>
    <row r="124" spans="1:11" s="49" customFormat="1" ht="12" customHeight="1">
      <c r="A124" s="126" t="str">
        <f t="shared" si="0"/>
        <v>A1</v>
      </c>
      <c r="B124" s="13">
        <f t="shared" ref="B124:B129" si="7">$C$124</f>
        <v>3</v>
      </c>
      <c r="C124" s="190">
        <v>3</v>
      </c>
      <c r="D124" s="120" t="s">
        <v>19</v>
      </c>
      <c r="E124" s="865"/>
      <c r="F124" s="839"/>
      <c r="G124" s="795"/>
      <c r="H124" s="796"/>
      <c r="I124" s="154"/>
      <c r="J124" s="48"/>
    </row>
    <row r="125" spans="1:11" s="49" customFormat="1" ht="12" customHeight="1">
      <c r="A125" s="126" t="str">
        <f t="shared" si="0"/>
        <v>A1</v>
      </c>
      <c r="B125" s="13">
        <f t="shared" si="7"/>
        <v>3</v>
      </c>
      <c r="C125" s="128"/>
      <c r="D125" s="61"/>
      <c r="E125" s="866"/>
      <c r="F125" s="829"/>
      <c r="G125" s="352"/>
      <c r="H125" s="797"/>
      <c r="I125" s="144"/>
      <c r="J125" s="48"/>
    </row>
    <row r="126" spans="1:11" s="49" customFormat="1" ht="129" customHeight="1">
      <c r="A126" s="126" t="str">
        <f t="shared" ref="A126:A129" si="8">$C$11</f>
        <v>A1</v>
      </c>
      <c r="B126" s="13">
        <f t="shared" si="7"/>
        <v>3</v>
      </c>
      <c r="C126" s="173" t="s">
        <v>438</v>
      </c>
      <c r="D126" s="239" t="s">
        <v>1050</v>
      </c>
      <c r="E126" s="853"/>
      <c r="F126" s="194"/>
      <c r="G126" s="812"/>
      <c r="H126" s="810"/>
      <c r="I126" s="205"/>
      <c r="J126" s="48"/>
      <c r="K126" s="49">
        <f t="shared" ref="K126:K129" si="9">G126*J126</f>
        <v>0</v>
      </c>
    </row>
    <row r="127" spans="1:11" s="49" customFormat="1" ht="28.5" customHeight="1">
      <c r="A127" s="126" t="str">
        <f t="shared" si="8"/>
        <v>A1</v>
      </c>
      <c r="B127" s="13">
        <f t="shared" si="7"/>
        <v>3</v>
      </c>
      <c r="C127" s="173"/>
      <c r="D127" s="228" t="s">
        <v>471</v>
      </c>
      <c r="E127" s="853"/>
      <c r="F127" s="194"/>
      <c r="G127" s="812"/>
      <c r="H127" s="810"/>
      <c r="I127" s="205"/>
      <c r="J127" s="48"/>
      <c r="K127" s="49">
        <f t="shared" si="9"/>
        <v>0</v>
      </c>
    </row>
    <row r="128" spans="1:11" s="49" customFormat="1" ht="12" customHeight="1">
      <c r="A128" s="126" t="str">
        <f t="shared" si="8"/>
        <v>A1</v>
      </c>
      <c r="B128" s="13">
        <f t="shared" si="7"/>
        <v>3</v>
      </c>
      <c r="C128" s="194"/>
      <c r="D128" s="197" t="s">
        <v>65</v>
      </c>
      <c r="E128" s="867"/>
      <c r="F128" s="194" t="s">
        <v>0</v>
      </c>
      <c r="G128" s="784">
        <f>+'MAPA 1-ISKAZ KOLIČINA'!CE16</f>
        <v>10.141000000000002</v>
      </c>
      <c r="H128" s="810"/>
      <c r="I128" s="205">
        <f>G128*H128</f>
        <v>0</v>
      </c>
      <c r="J128" s="48"/>
    </row>
    <row r="129" spans="1:11" s="49" customFormat="1" ht="12" customHeight="1">
      <c r="A129" s="126" t="str">
        <f t="shared" si="8"/>
        <v>A1</v>
      </c>
      <c r="B129" s="13">
        <f t="shared" si="7"/>
        <v>3</v>
      </c>
      <c r="C129" s="194"/>
      <c r="D129" s="197" t="s">
        <v>66</v>
      </c>
      <c r="E129" s="867"/>
      <c r="F129" s="194" t="s">
        <v>12</v>
      </c>
      <c r="G129" s="784">
        <f>101.41*0.2</f>
        <v>20.282</v>
      </c>
      <c r="H129" s="810"/>
      <c r="I129" s="205">
        <f>G129*H129</f>
        <v>0</v>
      </c>
      <c r="J129" s="48"/>
      <c r="K129" s="49">
        <f t="shared" si="9"/>
        <v>0</v>
      </c>
    </row>
    <row r="130" spans="1:11" s="49" customFormat="1" ht="12" customHeight="1">
      <c r="A130" s="126"/>
      <c r="B130" s="13"/>
      <c r="C130" s="194"/>
      <c r="D130" s="197" t="s">
        <v>470</v>
      </c>
      <c r="E130" s="867"/>
      <c r="F130" s="194" t="s">
        <v>46</v>
      </c>
      <c r="G130" s="784">
        <f>+G128*80</f>
        <v>811.2800000000002</v>
      </c>
      <c r="H130" s="810"/>
      <c r="I130" s="205">
        <f>G130*H130</f>
        <v>0</v>
      </c>
      <c r="J130" s="48"/>
    </row>
    <row r="131" spans="1:11" s="49" customFormat="1" ht="12" customHeight="1">
      <c r="A131" s="126" t="str">
        <f t="shared" ref="A131:A132" si="10">$C$11</f>
        <v>A1</v>
      </c>
      <c r="B131" s="13">
        <f t="shared" ref="B131:B132" si="11">$C$124</f>
        <v>3</v>
      </c>
      <c r="C131" s="194"/>
      <c r="D131" s="229"/>
      <c r="E131" s="868"/>
      <c r="F131" s="194"/>
      <c r="G131" s="784"/>
      <c r="H131" s="810"/>
      <c r="I131" s="205"/>
      <c r="J131" s="48"/>
    </row>
    <row r="132" spans="1:11" s="49" customFormat="1" ht="12" customHeight="1">
      <c r="A132" s="126" t="str">
        <f t="shared" si="10"/>
        <v>A1</v>
      </c>
      <c r="B132" s="13">
        <f t="shared" si="11"/>
        <v>3</v>
      </c>
      <c r="C132" s="131">
        <f>C124</f>
        <v>3</v>
      </c>
      <c r="D132" s="119" t="str">
        <f>D124</f>
        <v>BETONSKI I ARMIRANOBETONSKI RADOVI</v>
      </c>
      <c r="E132" s="869"/>
      <c r="F132" s="840" t="s">
        <v>2</v>
      </c>
      <c r="G132" s="798"/>
      <c r="H132" s="799"/>
      <c r="I132" s="153">
        <f>SUM(I125:I131)</f>
        <v>0</v>
      </c>
      <c r="J132" s="48"/>
    </row>
    <row r="133" spans="1:11" s="49" customFormat="1" ht="12" customHeight="1">
      <c r="A133" s="126" t="str">
        <f t="shared" ref="A133:A525" si="12">$C$11</f>
        <v>A1</v>
      </c>
      <c r="B133" s="13"/>
      <c r="C133" s="133"/>
      <c r="D133" s="59"/>
      <c r="E133" s="870"/>
      <c r="F133" s="76"/>
      <c r="G133" s="800"/>
      <c r="H133" s="797"/>
      <c r="I133" s="144"/>
      <c r="J133" s="48"/>
    </row>
    <row r="134" spans="1:11" s="49" customFormat="1" ht="12" customHeight="1">
      <c r="A134" s="126" t="str">
        <f t="shared" si="12"/>
        <v>A1</v>
      </c>
      <c r="B134" s="13"/>
      <c r="C134" s="132"/>
      <c r="D134" s="44"/>
      <c r="E134" s="871"/>
      <c r="F134" s="829"/>
      <c r="G134" s="352"/>
      <c r="H134" s="797"/>
      <c r="I134" s="144"/>
      <c r="J134" s="48"/>
    </row>
    <row r="135" spans="1:11" ht="12" customHeight="1">
      <c r="A135" s="126" t="str">
        <f t="shared" si="12"/>
        <v>A1</v>
      </c>
      <c r="B135" s="13">
        <f t="shared" ref="B135:B142" si="13">$C$135</f>
        <v>4</v>
      </c>
      <c r="C135" s="125">
        <v>4</v>
      </c>
      <c r="D135" s="120" t="s">
        <v>67</v>
      </c>
      <c r="E135" s="865"/>
      <c r="F135" s="841"/>
      <c r="G135" s="801"/>
      <c r="H135" s="796"/>
      <c r="I135" s="154"/>
    </row>
    <row r="136" spans="1:11" ht="12" customHeight="1">
      <c r="A136" s="126" t="str">
        <f t="shared" si="12"/>
        <v>A1</v>
      </c>
      <c r="B136" s="13">
        <f t="shared" si="13"/>
        <v>4</v>
      </c>
      <c r="C136" s="191"/>
      <c r="D136" s="164"/>
      <c r="E136" s="863"/>
      <c r="F136" s="338"/>
      <c r="G136" s="339"/>
      <c r="H136" s="789"/>
      <c r="I136" s="144"/>
    </row>
    <row r="137" spans="1:11" ht="66" customHeight="1">
      <c r="A137" s="126" t="str">
        <f t="shared" si="12"/>
        <v>A1</v>
      </c>
      <c r="B137" s="13">
        <f t="shared" si="13"/>
        <v>4</v>
      </c>
      <c r="C137" s="201" t="s">
        <v>74</v>
      </c>
      <c r="D137" s="239" t="s">
        <v>472</v>
      </c>
      <c r="E137" s="853"/>
      <c r="F137" s="192"/>
      <c r="G137" s="784"/>
      <c r="H137" s="810"/>
      <c r="I137" s="205"/>
    </row>
    <row r="138" spans="1:11" ht="12" customHeight="1">
      <c r="A138" s="126" t="str">
        <f t="shared" si="12"/>
        <v>A1</v>
      </c>
      <c r="B138" s="13">
        <f t="shared" si="13"/>
        <v>4</v>
      </c>
      <c r="C138" s="201"/>
      <c r="D138" s="172" t="s">
        <v>71</v>
      </c>
      <c r="E138" s="872"/>
      <c r="F138" s="192" t="s">
        <v>0</v>
      </c>
      <c r="G138" s="784">
        <f>+'MAPA 1-ISKAZ KOLIČINA'!AW16</f>
        <v>0.77337499999999992</v>
      </c>
      <c r="H138" s="810"/>
      <c r="I138" s="205">
        <f>G138*H138</f>
        <v>0</v>
      </c>
    </row>
    <row r="139" spans="1:11" ht="12" customHeight="1">
      <c r="A139" s="126" t="str">
        <f t="shared" si="12"/>
        <v>A1</v>
      </c>
      <c r="B139" s="13">
        <f t="shared" si="13"/>
        <v>4</v>
      </c>
      <c r="C139" s="192"/>
      <c r="D139" s="198"/>
      <c r="E139" s="873"/>
      <c r="F139" s="192"/>
      <c r="G139" s="352"/>
      <c r="H139" s="810"/>
      <c r="I139" s="205"/>
    </row>
    <row r="140" spans="1:11" ht="63.75">
      <c r="A140" s="126" t="str">
        <f t="shared" si="12"/>
        <v>A1</v>
      </c>
      <c r="B140" s="13">
        <f t="shared" si="13"/>
        <v>4</v>
      </c>
      <c r="C140" s="201" t="s">
        <v>75</v>
      </c>
      <c r="D140" s="239" t="s">
        <v>473</v>
      </c>
      <c r="E140" s="853"/>
      <c r="F140" s="192"/>
      <c r="G140" s="784"/>
      <c r="H140" s="810"/>
      <c r="I140" s="205"/>
    </row>
    <row r="141" spans="1:11" ht="12" customHeight="1">
      <c r="A141" s="126" t="str">
        <f t="shared" si="12"/>
        <v>A1</v>
      </c>
      <c r="B141" s="13">
        <f t="shared" si="13"/>
        <v>4</v>
      </c>
      <c r="C141" s="201"/>
      <c r="D141" s="214" t="s">
        <v>380</v>
      </c>
      <c r="E141" s="872"/>
      <c r="F141" s="192" t="s">
        <v>12</v>
      </c>
      <c r="G141" s="784">
        <f>+'MAPA 1-ISKAZ KOLIČINA'!AX16</f>
        <v>6.9939999999999998</v>
      </c>
      <c r="H141" s="810"/>
      <c r="I141" s="205">
        <f>G141*H141</f>
        <v>0</v>
      </c>
    </row>
    <row r="142" spans="1:11" ht="12" customHeight="1">
      <c r="A142" s="126" t="str">
        <f t="shared" si="12"/>
        <v>A1</v>
      </c>
      <c r="B142" s="13">
        <f t="shared" si="13"/>
        <v>4</v>
      </c>
      <c r="C142" s="192"/>
      <c r="D142" s="198"/>
      <c r="E142" s="873"/>
      <c r="F142" s="192"/>
      <c r="G142" s="784"/>
      <c r="H142" s="810"/>
      <c r="I142" s="205"/>
    </row>
    <row r="143" spans="1:11" ht="38.25">
      <c r="A143" s="126"/>
      <c r="C143" s="201" t="s">
        <v>475</v>
      </c>
      <c r="D143" s="239" t="s">
        <v>477</v>
      </c>
      <c r="E143" s="853"/>
      <c r="F143" s="192"/>
      <c r="G143" s="784"/>
      <c r="H143" s="810"/>
      <c r="I143" s="205"/>
    </row>
    <row r="144" spans="1:11" ht="12" customHeight="1">
      <c r="A144" s="126"/>
      <c r="C144" s="192"/>
      <c r="D144" s="198" t="s">
        <v>476</v>
      </c>
      <c r="E144" s="873"/>
      <c r="F144" s="192" t="s">
        <v>12</v>
      </c>
      <c r="G144" s="784">
        <f>+'MAPA 1-ISKAZ KOLIČINA'!AY16</f>
        <v>7.7673749999999995</v>
      </c>
      <c r="H144" s="810"/>
      <c r="I144" s="205">
        <f>G144*H144</f>
        <v>0</v>
      </c>
    </row>
    <row r="145" spans="1:10" ht="12" customHeight="1">
      <c r="A145" s="126"/>
      <c r="C145" s="192"/>
      <c r="D145" s="198"/>
      <c r="E145" s="873"/>
      <c r="F145" s="192"/>
      <c r="G145" s="784"/>
      <c r="H145" s="810"/>
      <c r="I145" s="205"/>
    </row>
    <row r="146" spans="1:10" ht="69" customHeight="1">
      <c r="A146" s="126" t="str">
        <f t="shared" si="12"/>
        <v>A1</v>
      </c>
      <c r="B146" s="13">
        <f t="shared" ref="B146:B164" si="14">$C$135</f>
        <v>4</v>
      </c>
      <c r="C146" s="203" t="s">
        <v>478</v>
      </c>
      <c r="D146" s="383" t="s">
        <v>445</v>
      </c>
      <c r="E146" s="874"/>
      <c r="F146" s="170"/>
      <c r="G146" s="784"/>
      <c r="H146" s="914"/>
      <c r="I146" s="205"/>
      <c r="J146" s="15"/>
    </row>
    <row r="147" spans="1:10" ht="12" customHeight="1">
      <c r="A147" s="126" t="str">
        <f t="shared" si="12"/>
        <v>A1</v>
      </c>
      <c r="B147" s="13">
        <f t="shared" si="14"/>
        <v>4</v>
      </c>
      <c r="C147" s="203"/>
      <c r="D147" s="214" t="s">
        <v>446</v>
      </c>
      <c r="E147" s="872"/>
      <c r="F147" s="842" t="s">
        <v>8</v>
      </c>
      <c r="G147" s="784">
        <v>30</v>
      </c>
      <c r="H147" s="914"/>
      <c r="I147" s="205">
        <f>G147*H147</f>
        <v>0</v>
      </c>
      <c r="J147" s="15"/>
    </row>
    <row r="148" spans="1:10" ht="12" customHeight="1">
      <c r="A148" s="126" t="str">
        <f t="shared" si="12"/>
        <v>A1</v>
      </c>
      <c r="B148" s="13">
        <f t="shared" si="14"/>
        <v>4</v>
      </c>
      <c r="C148" s="203"/>
      <c r="D148" s="198"/>
      <c r="E148" s="873"/>
      <c r="F148" s="351"/>
      <c r="G148" s="819"/>
      <c r="H148" s="811"/>
      <c r="I148" s="922"/>
      <c r="J148" s="15"/>
    </row>
    <row r="149" spans="1:10" ht="104.25" customHeight="1">
      <c r="A149" s="126" t="str">
        <f t="shared" si="12"/>
        <v>A1</v>
      </c>
      <c r="B149" s="13">
        <f t="shared" si="14"/>
        <v>4</v>
      </c>
      <c r="C149" s="202" t="s">
        <v>76</v>
      </c>
      <c r="D149" s="204" t="s">
        <v>440</v>
      </c>
      <c r="E149" s="875"/>
      <c r="F149" s="192"/>
      <c r="G149" s="784"/>
      <c r="H149" s="810"/>
      <c r="I149" s="47">
        <f>G149*H149</f>
        <v>0</v>
      </c>
      <c r="J149" s="15"/>
    </row>
    <row r="150" spans="1:10">
      <c r="A150" s="126" t="str">
        <f t="shared" si="12"/>
        <v>A1</v>
      </c>
      <c r="B150" s="13">
        <f t="shared" si="14"/>
        <v>4</v>
      </c>
      <c r="C150" s="202"/>
      <c r="D150" s="204" t="s">
        <v>439</v>
      </c>
      <c r="E150" s="875"/>
      <c r="F150" s="192" t="s">
        <v>12</v>
      </c>
      <c r="G150" s="784">
        <f>+'MAPA 1-ISKAZ KOLIČINA'!AI16</f>
        <v>225.13</v>
      </c>
      <c r="H150" s="810"/>
      <c r="I150" s="205">
        <f>G150*H150</f>
        <v>0</v>
      </c>
      <c r="J150" s="15"/>
    </row>
    <row r="151" spans="1:10" ht="12" customHeight="1">
      <c r="A151" s="126" t="str">
        <f t="shared" si="12"/>
        <v>A1</v>
      </c>
      <c r="B151" s="13">
        <f t="shared" si="14"/>
        <v>4</v>
      </c>
      <c r="C151" s="206"/>
      <c r="D151" s="204"/>
      <c r="E151" s="875"/>
      <c r="F151" s="192"/>
      <c r="G151" s="784"/>
      <c r="H151" s="810"/>
      <c r="I151" s="176"/>
      <c r="J151" s="15"/>
    </row>
    <row r="152" spans="1:10" ht="68.25" customHeight="1">
      <c r="A152" s="126" t="str">
        <f t="shared" si="12"/>
        <v>A1</v>
      </c>
      <c r="B152" s="13">
        <f t="shared" si="14"/>
        <v>4</v>
      </c>
      <c r="C152" s="202" t="s">
        <v>77</v>
      </c>
      <c r="D152" s="239" t="s">
        <v>824</v>
      </c>
      <c r="E152" s="853"/>
      <c r="F152" s="192"/>
      <c r="G152" s="784"/>
      <c r="H152" s="810"/>
      <c r="I152" s="205"/>
      <c r="J152" s="15"/>
    </row>
    <row r="153" spans="1:10" ht="14.25" customHeight="1">
      <c r="A153" s="126" t="str">
        <f t="shared" si="12"/>
        <v>A1</v>
      </c>
      <c r="B153" s="13">
        <f t="shared" si="14"/>
        <v>4</v>
      </c>
      <c r="C153" s="202"/>
      <c r="D153" s="204" t="s">
        <v>441</v>
      </c>
      <c r="E153" s="875"/>
      <c r="F153" s="192" t="s">
        <v>12</v>
      </c>
      <c r="G153" s="784">
        <f>+'MAPA 1-ISKAZ KOLIČINA'!AK16</f>
        <v>225.13</v>
      </c>
      <c r="H153" s="810"/>
      <c r="I153" s="205">
        <f>G153*H153</f>
        <v>0</v>
      </c>
      <c r="J153" s="15"/>
    </row>
    <row r="154" spans="1:10" ht="14.25" customHeight="1">
      <c r="A154" s="126"/>
      <c r="C154" s="202"/>
      <c r="D154" s="204"/>
      <c r="E154" s="875"/>
      <c r="F154" s="192"/>
      <c r="G154" s="784"/>
      <c r="H154" s="810"/>
      <c r="I154" s="205"/>
      <c r="J154" s="15"/>
    </row>
    <row r="155" spans="1:10" ht="51">
      <c r="A155" s="126"/>
      <c r="C155" s="202" t="s">
        <v>78</v>
      </c>
      <c r="D155" s="239" t="s">
        <v>995</v>
      </c>
      <c r="E155" s="853"/>
      <c r="F155" s="192"/>
      <c r="G155" s="784"/>
      <c r="H155" s="810"/>
      <c r="I155" s="205"/>
      <c r="J155" s="15"/>
    </row>
    <row r="156" spans="1:10" ht="14.25" customHeight="1">
      <c r="A156" s="126"/>
      <c r="C156" s="202"/>
      <c r="D156" s="204" t="s">
        <v>996</v>
      </c>
      <c r="E156" s="875"/>
      <c r="F156" s="192" t="s">
        <v>12</v>
      </c>
      <c r="G156" s="784">
        <f>G150</f>
        <v>225.13</v>
      </c>
      <c r="H156" s="810"/>
      <c r="I156" s="205">
        <f>G156*H156</f>
        <v>0</v>
      </c>
      <c r="J156" s="15"/>
    </row>
    <row r="157" spans="1:10" ht="14.25" customHeight="1">
      <c r="A157" s="126"/>
      <c r="C157" s="202"/>
      <c r="D157" s="204"/>
      <c r="E157" s="875"/>
      <c r="F157" s="192"/>
      <c r="G157" s="784"/>
      <c r="H157" s="810"/>
      <c r="I157" s="205"/>
      <c r="J157" s="15"/>
    </row>
    <row r="158" spans="1:10" ht="30.75" customHeight="1">
      <c r="A158" s="126" t="str">
        <f t="shared" si="12"/>
        <v>A1</v>
      </c>
      <c r="B158" s="13">
        <f t="shared" si="14"/>
        <v>4</v>
      </c>
      <c r="C158" s="202" t="s">
        <v>480</v>
      </c>
      <c r="D158" s="239" t="s">
        <v>825</v>
      </c>
      <c r="E158" s="853"/>
      <c r="F158" s="192"/>
      <c r="G158" s="784"/>
      <c r="H158" s="810"/>
      <c r="I158" s="205"/>
      <c r="J158" s="15"/>
    </row>
    <row r="159" spans="1:10">
      <c r="A159" s="126"/>
      <c r="C159" s="202"/>
      <c r="D159" s="204" t="s">
        <v>767</v>
      </c>
      <c r="E159" s="875"/>
      <c r="F159" s="192" t="s">
        <v>12</v>
      </c>
      <c r="G159" s="784">
        <f>'MAPA 1-ISKAZ KOLIČINA'!BR16</f>
        <v>225.13</v>
      </c>
      <c r="H159" s="810"/>
      <c r="I159" s="47">
        <f>G159*H159</f>
        <v>0</v>
      </c>
      <c r="J159" s="15"/>
    </row>
    <row r="160" spans="1:10">
      <c r="A160" s="126"/>
      <c r="C160" s="202"/>
      <c r="D160" s="239"/>
      <c r="E160" s="853"/>
      <c r="F160" s="192"/>
      <c r="G160" s="784"/>
      <c r="H160" s="810"/>
      <c r="I160" s="205"/>
      <c r="J160" s="15"/>
    </row>
    <row r="161" spans="1:10" ht="26.25" customHeight="1">
      <c r="A161" s="126" t="str">
        <f t="shared" si="12"/>
        <v>A1</v>
      </c>
      <c r="B161" s="13">
        <f t="shared" si="14"/>
        <v>4</v>
      </c>
      <c r="C161" s="202" t="s">
        <v>481</v>
      </c>
      <c r="D161" s="237" t="s">
        <v>479</v>
      </c>
      <c r="E161" s="853"/>
      <c r="F161" s="192"/>
      <c r="G161" s="784"/>
      <c r="H161" s="810"/>
      <c r="I161" s="205"/>
      <c r="J161" s="15"/>
    </row>
    <row r="162" spans="1:10" ht="12" customHeight="1">
      <c r="A162" s="126" t="str">
        <f t="shared" si="12"/>
        <v>A1</v>
      </c>
      <c r="B162" s="13">
        <f t="shared" si="14"/>
        <v>4</v>
      </c>
      <c r="C162" s="202"/>
      <c r="D162" s="204" t="s">
        <v>441</v>
      </c>
      <c r="E162" s="875"/>
      <c r="F162" s="192" t="s">
        <v>12</v>
      </c>
      <c r="G162" s="784">
        <f>+'MAPA 1-ISKAZ KOLIČINA'!BZ16</f>
        <v>91.269000000000005</v>
      </c>
      <c r="H162" s="810"/>
      <c r="I162" s="205">
        <f>G162*H162</f>
        <v>0</v>
      </c>
      <c r="J162" s="15"/>
    </row>
    <row r="163" spans="1:10" ht="12" customHeight="1">
      <c r="A163" s="126" t="str">
        <f t="shared" si="12"/>
        <v>A1</v>
      </c>
      <c r="B163" s="13">
        <f t="shared" si="14"/>
        <v>4</v>
      </c>
      <c r="C163" s="202"/>
      <c r="D163" s="167"/>
      <c r="E163" s="876"/>
      <c r="F163" s="192"/>
      <c r="G163" s="784"/>
      <c r="H163" s="810"/>
      <c r="I163" s="205"/>
      <c r="J163" s="15"/>
    </row>
    <row r="164" spans="1:10" ht="25.9" customHeight="1">
      <c r="A164" s="126" t="str">
        <f t="shared" si="12"/>
        <v>A1</v>
      </c>
      <c r="B164" s="13">
        <f t="shared" si="14"/>
        <v>4</v>
      </c>
      <c r="C164" s="202" t="s">
        <v>482</v>
      </c>
      <c r="D164" s="239" t="s">
        <v>769</v>
      </c>
      <c r="E164" s="853"/>
      <c r="F164" s="351"/>
      <c r="G164" s="819"/>
      <c r="H164" s="811"/>
      <c r="I164" s="922"/>
      <c r="J164" s="15"/>
    </row>
    <row r="165" spans="1:10">
      <c r="A165" s="126"/>
      <c r="C165" s="202"/>
      <c r="D165" s="239" t="s">
        <v>382</v>
      </c>
      <c r="E165" s="853"/>
      <c r="F165" s="192" t="s">
        <v>12</v>
      </c>
      <c r="G165" s="784">
        <f>+'MAPA 1-ISKAZ KOLIČINA'!BZ16</f>
        <v>91.269000000000005</v>
      </c>
      <c r="H165" s="810"/>
      <c r="I165" s="205">
        <f>G165*H165</f>
        <v>0</v>
      </c>
      <c r="J165" s="15"/>
    </row>
    <row r="166" spans="1:10" ht="12" customHeight="1">
      <c r="A166" s="126" t="str">
        <f t="shared" si="12"/>
        <v>A1</v>
      </c>
      <c r="B166" s="13">
        <f t="shared" ref="B166" si="15">$C$135</f>
        <v>4</v>
      </c>
      <c r="C166" s="202"/>
      <c r="D166" s="357"/>
      <c r="E166" s="877"/>
      <c r="F166" s="192"/>
      <c r="G166" s="784"/>
      <c r="H166" s="810"/>
      <c r="I166" s="205"/>
      <c r="J166" s="15"/>
    </row>
    <row r="167" spans="1:10" ht="25.5">
      <c r="A167" s="126" t="str">
        <f t="shared" si="12"/>
        <v>A1</v>
      </c>
      <c r="B167" s="13">
        <f t="shared" ref="B167:B184" si="16">$C$135</f>
        <v>4</v>
      </c>
      <c r="C167" s="202" t="s">
        <v>79</v>
      </c>
      <c r="D167" s="344" t="s">
        <v>70</v>
      </c>
      <c r="E167" s="878"/>
      <c r="F167" s="192"/>
      <c r="G167" s="784"/>
      <c r="H167" s="809"/>
      <c r="I167" s="176"/>
      <c r="J167" s="15"/>
    </row>
    <row r="168" spans="1:10" ht="12" customHeight="1">
      <c r="A168" s="126" t="str">
        <f t="shared" si="12"/>
        <v>A1</v>
      </c>
      <c r="B168" s="13">
        <f t="shared" si="16"/>
        <v>4</v>
      </c>
      <c r="C168" s="202"/>
      <c r="D168" s="344" t="s">
        <v>72</v>
      </c>
      <c r="E168" s="878"/>
      <c r="F168" s="192" t="s">
        <v>56</v>
      </c>
      <c r="G168" s="784">
        <v>200</v>
      </c>
      <c r="H168" s="810"/>
      <c r="I168" s="205">
        <f>G168*H168</f>
        <v>0</v>
      </c>
      <c r="J168" s="15"/>
    </row>
    <row r="169" spans="1:10" ht="12" customHeight="1">
      <c r="A169" s="126" t="str">
        <f t="shared" si="12"/>
        <v>A1</v>
      </c>
      <c r="B169" s="13">
        <f t="shared" si="16"/>
        <v>4</v>
      </c>
      <c r="C169" s="191"/>
      <c r="D169" s="345"/>
      <c r="E169" s="879"/>
      <c r="F169" s="338"/>
      <c r="G169" s="339"/>
      <c r="H169" s="789"/>
      <c r="I169" s="144"/>
      <c r="J169" s="15"/>
    </row>
    <row r="170" spans="1:10" ht="31.5" customHeight="1">
      <c r="A170" s="126"/>
      <c r="C170" s="191" t="s">
        <v>785</v>
      </c>
      <c r="D170" s="356" t="s">
        <v>786</v>
      </c>
      <c r="E170" s="880"/>
      <c r="F170" s="338"/>
      <c r="G170" s="339"/>
      <c r="H170" s="789"/>
      <c r="I170" s="144"/>
      <c r="J170" s="15"/>
    </row>
    <row r="171" spans="1:10" ht="12" customHeight="1">
      <c r="A171" s="126"/>
      <c r="C171" s="191"/>
      <c r="D171" s="345" t="s">
        <v>667</v>
      </c>
      <c r="E171" s="879"/>
      <c r="F171" s="338" t="s">
        <v>12</v>
      </c>
      <c r="G171" s="339">
        <f>+'MAPA 1-ISKAZ KOLIČINA'!BH16</f>
        <v>172.292</v>
      </c>
      <c r="H171" s="789"/>
      <c r="I171" s="47">
        <f>G171*H171</f>
        <v>0</v>
      </c>
      <c r="J171" s="15"/>
    </row>
    <row r="172" spans="1:10" ht="12" customHeight="1">
      <c r="A172" s="126"/>
      <c r="C172" s="191"/>
      <c r="D172" s="345"/>
      <c r="E172" s="879"/>
      <c r="F172" s="338"/>
      <c r="G172" s="339"/>
      <c r="H172" s="789"/>
      <c r="I172" s="47"/>
      <c r="J172" s="15"/>
    </row>
    <row r="173" spans="1:10" ht="25.5">
      <c r="A173" s="126"/>
      <c r="C173" s="130" t="s">
        <v>813</v>
      </c>
      <c r="D173" s="236" t="s">
        <v>1056</v>
      </c>
      <c r="E173" s="881"/>
      <c r="F173" s="183"/>
      <c r="G173" s="401"/>
      <c r="H173" s="788"/>
      <c r="I173" s="47"/>
      <c r="J173" s="15"/>
    </row>
    <row r="174" spans="1:10" ht="12" customHeight="1">
      <c r="A174" s="126"/>
      <c r="C174" s="179"/>
      <c r="D174" s="236" t="s">
        <v>1048</v>
      </c>
      <c r="E174" s="881"/>
      <c r="F174" s="183"/>
      <c r="G174" s="401"/>
      <c r="H174" s="788"/>
      <c r="I174" s="47"/>
      <c r="J174" s="15"/>
    </row>
    <row r="175" spans="1:10" ht="34.5" customHeight="1">
      <c r="A175" s="126"/>
      <c r="C175" s="179"/>
      <c r="D175" s="236" t="s">
        <v>819</v>
      </c>
      <c r="E175" s="881"/>
      <c r="F175" s="183"/>
      <c r="G175" s="401"/>
      <c r="H175" s="788"/>
      <c r="I175" s="47"/>
      <c r="J175" s="15"/>
    </row>
    <row r="176" spans="1:10" ht="12" customHeight="1">
      <c r="A176" s="126"/>
      <c r="C176" s="179"/>
      <c r="D176" s="236" t="s">
        <v>820</v>
      </c>
      <c r="E176" s="881"/>
      <c r="F176" s="338" t="s">
        <v>12</v>
      </c>
      <c r="G176" s="401">
        <f>71.9*0.8</f>
        <v>57.52000000000001</v>
      </c>
      <c r="H176" s="788"/>
      <c r="I176" s="47">
        <f>G176*H176</f>
        <v>0</v>
      </c>
      <c r="J176" s="15"/>
    </row>
    <row r="177" spans="1:10" ht="12" customHeight="1">
      <c r="A177" s="126"/>
      <c r="C177" s="179"/>
      <c r="D177" s="236"/>
      <c r="E177" s="881"/>
      <c r="F177" s="338"/>
      <c r="G177" s="401"/>
      <c r="H177" s="788"/>
      <c r="I177" s="47"/>
      <c r="J177" s="15"/>
    </row>
    <row r="178" spans="1:10" ht="113.25" customHeight="1">
      <c r="A178" s="126" t="str">
        <f t="shared" si="12"/>
        <v>A1</v>
      </c>
      <c r="B178" s="13">
        <f t="shared" si="16"/>
        <v>4</v>
      </c>
      <c r="C178" s="130" t="s">
        <v>997</v>
      </c>
      <c r="D178" s="180" t="s">
        <v>60</v>
      </c>
      <c r="E178" s="857"/>
      <c r="F178" s="177"/>
      <c r="G178" s="786"/>
      <c r="H178" s="787"/>
      <c r="I178" s="159">
        <f>G178*H178</f>
        <v>0</v>
      </c>
      <c r="J178" s="15"/>
    </row>
    <row r="179" spans="1:10" ht="12" customHeight="1">
      <c r="A179" s="126" t="str">
        <f t="shared" si="12"/>
        <v>A1</v>
      </c>
      <c r="B179" s="13">
        <f t="shared" si="16"/>
        <v>4</v>
      </c>
      <c r="C179" s="130"/>
      <c r="D179" s="162" t="s">
        <v>61</v>
      </c>
      <c r="E179" s="882"/>
      <c r="F179" s="177"/>
      <c r="G179" s="786"/>
      <c r="H179" s="787"/>
      <c r="I179" s="159"/>
      <c r="J179" s="15"/>
    </row>
    <row r="180" spans="1:10" ht="12" customHeight="1">
      <c r="A180" s="126" t="str">
        <f t="shared" si="12"/>
        <v>A1</v>
      </c>
      <c r="B180" s="13">
        <f t="shared" si="16"/>
        <v>4</v>
      </c>
      <c r="C180" s="179"/>
      <c r="D180" s="236" t="s">
        <v>57</v>
      </c>
      <c r="E180" s="881"/>
      <c r="F180" s="183" t="s">
        <v>58</v>
      </c>
      <c r="G180" s="401">
        <v>50</v>
      </c>
      <c r="H180" s="788"/>
      <c r="I180" s="47">
        <f>G180*H180</f>
        <v>0</v>
      </c>
      <c r="J180" s="15"/>
    </row>
    <row r="181" spans="1:10" ht="12" customHeight="1">
      <c r="A181" s="126" t="str">
        <f t="shared" si="12"/>
        <v>A1</v>
      </c>
      <c r="B181" s="13">
        <f t="shared" si="16"/>
        <v>4</v>
      </c>
      <c r="C181" s="179"/>
      <c r="D181" s="236" t="s">
        <v>444</v>
      </c>
      <c r="E181" s="881"/>
      <c r="F181" s="183" t="s">
        <v>58</v>
      </c>
      <c r="G181" s="401">
        <v>50</v>
      </c>
      <c r="H181" s="788"/>
      <c r="I181" s="47">
        <f>G181*H181</f>
        <v>0</v>
      </c>
      <c r="J181" s="15"/>
    </row>
    <row r="182" spans="1:10" ht="12" customHeight="1">
      <c r="A182" s="126"/>
      <c r="C182" s="179"/>
      <c r="D182" s="236" t="s">
        <v>443</v>
      </c>
      <c r="E182" s="881"/>
      <c r="F182" s="183" t="s">
        <v>58</v>
      </c>
      <c r="G182" s="401">
        <v>51</v>
      </c>
      <c r="H182" s="788"/>
      <c r="I182" s="47">
        <f>G182*H182</f>
        <v>0</v>
      </c>
      <c r="J182" s="15"/>
    </row>
    <row r="183" spans="1:10" ht="12" customHeight="1">
      <c r="A183" s="126"/>
      <c r="C183" s="179"/>
      <c r="D183" s="236"/>
      <c r="E183" s="881"/>
      <c r="F183" s="183"/>
      <c r="G183" s="401"/>
      <c r="H183" s="788"/>
      <c r="I183" s="47"/>
      <c r="J183" s="15"/>
    </row>
    <row r="184" spans="1:10" ht="12" customHeight="1">
      <c r="A184" s="126" t="str">
        <f t="shared" si="12"/>
        <v>A1</v>
      </c>
      <c r="B184" s="13">
        <f t="shared" si="16"/>
        <v>4</v>
      </c>
      <c r="C184" s="131">
        <f>C135</f>
        <v>4</v>
      </c>
      <c r="D184" s="119" t="str">
        <f>D135</f>
        <v>ZIDARSKI RADOVI</v>
      </c>
      <c r="E184" s="869"/>
      <c r="F184" s="840" t="s">
        <v>2</v>
      </c>
      <c r="G184" s="798"/>
      <c r="H184" s="799"/>
      <c r="I184" s="153">
        <f>SUM(I136:I183)</f>
        <v>0</v>
      </c>
      <c r="J184" s="15"/>
    </row>
    <row r="185" spans="1:10" ht="12" customHeight="1">
      <c r="A185" s="126" t="str">
        <f t="shared" si="12"/>
        <v>A1</v>
      </c>
      <c r="C185" s="133"/>
      <c r="D185" s="59"/>
      <c r="E185" s="870"/>
      <c r="F185" s="76"/>
      <c r="G185" s="800"/>
      <c r="H185" s="797"/>
      <c r="I185" s="144"/>
      <c r="J185" s="15"/>
    </row>
    <row r="186" spans="1:10" ht="12" customHeight="1">
      <c r="A186" s="126"/>
      <c r="C186" s="132"/>
      <c r="D186" s="44"/>
      <c r="E186" s="871"/>
      <c r="G186" s="352"/>
      <c r="H186" s="797"/>
      <c r="I186" s="144"/>
      <c r="J186" s="15"/>
    </row>
    <row r="187" spans="1:10" ht="12" customHeight="1">
      <c r="A187" s="126" t="str">
        <f t="shared" si="12"/>
        <v>A1</v>
      </c>
      <c r="B187" s="13">
        <v>5</v>
      </c>
      <c r="C187" s="125">
        <v>5</v>
      </c>
      <c r="D187" s="120" t="s">
        <v>80</v>
      </c>
      <c r="E187" s="865"/>
      <c r="F187" s="841"/>
      <c r="G187" s="801"/>
      <c r="H187" s="796"/>
      <c r="I187" s="154"/>
      <c r="J187" s="15"/>
    </row>
    <row r="188" spans="1:10" ht="12" customHeight="1">
      <c r="A188" s="126" t="str">
        <f t="shared" si="12"/>
        <v>A1</v>
      </c>
      <c r="B188" s="13">
        <v>5</v>
      </c>
      <c r="E188" s="883"/>
      <c r="G188" s="352"/>
      <c r="H188" s="797"/>
      <c r="I188" s="144"/>
      <c r="J188" s="15"/>
    </row>
    <row r="189" spans="1:10" ht="25.5">
      <c r="A189" s="126" t="str">
        <f t="shared" si="12"/>
        <v>A1</v>
      </c>
      <c r="B189" s="13">
        <v>5</v>
      </c>
      <c r="C189" s="202" t="s">
        <v>68</v>
      </c>
      <c r="D189" s="180" t="s">
        <v>1009</v>
      </c>
      <c r="E189" s="857"/>
      <c r="F189" s="192"/>
      <c r="G189" s="802"/>
      <c r="H189" s="803"/>
      <c r="I189" s="923"/>
      <c r="J189" s="15"/>
    </row>
    <row r="190" spans="1:10" ht="102">
      <c r="A190" s="126" t="str">
        <f t="shared" si="12"/>
        <v>A1</v>
      </c>
      <c r="B190" s="13">
        <v>5</v>
      </c>
      <c r="C190" s="188"/>
      <c r="D190" s="180" t="s">
        <v>768</v>
      </c>
      <c r="E190" s="857"/>
      <c r="F190" s="194"/>
      <c r="G190" s="802"/>
      <c r="H190" s="809"/>
      <c r="I190" s="923"/>
      <c r="J190" s="15"/>
    </row>
    <row r="191" spans="1:10" ht="12" customHeight="1">
      <c r="A191" s="126" t="str">
        <f t="shared" si="12"/>
        <v>A1</v>
      </c>
      <c r="B191" s="13">
        <v>5</v>
      </c>
      <c r="C191" s="188"/>
      <c r="D191" s="196" t="s">
        <v>448</v>
      </c>
      <c r="E191" s="868"/>
      <c r="F191" s="194" t="s">
        <v>12</v>
      </c>
      <c r="G191" s="784">
        <f>+'MAPA 1-ISKAZ KOLIČINA'!AJ16</f>
        <v>247.64300000000003</v>
      </c>
      <c r="H191" s="788"/>
      <c r="I191" s="176">
        <f>G191*H191</f>
        <v>0</v>
      </c>
      <c r="J191" s="15"/>
    </row>
    <row r="192" spans="1:10" ht="12" customHeight="1">
      <c r="A192" s="126" t="str">
        <f t="shared" si="12"/>
        <v>A1</v>
      </c>
      <c r="B192" s="13">
        <v>5</v>
      </c>
      <c r="C192" s="188"/>
      <c r="D192" s="199"/>
      <c r="E192" s="884"/>
      <c r="F192" s="194"/>
      <c r="G192" s="802"/>
      <c r="H192" s="809"/>
      <c r="I192" s="923"/>
      <c r="J192" s="15"/>
    </row>
    <row r="193" spans="1:10" ht="25.5">
      <c r="A193" s="126" t="str">
        <f t="shared" si="12"/>
        <v>A1</v>
      </c>
      <c r="B193" s="13">
        <v>5</v>
      </c>
      <c r="C193" s="202" t="s">
        <v>69</v>
      </c>
      <c r="D193" s="180" t="s">
        <v>447</v>
      </c>
      <c r="E193" s="857"/>
      <c r="F193" s="194"/>
      <c r="G193" s="802"/>
      <c r="H193" s="809"/>
      <c r="I193" s="923"/>
      <c r="J193" s="15"/>
    </row>
    <row r="194" spans="1:10" ht="89.25">
      <c r="A194" s="126" t="str">
        <f t="shared" si="12"/>
        <v>A1</v>
      </c>
      <c r="B194" s="13">
        <v>5</v>
      </c>
      <c r="C194" s="188"/>
      <c r="D194" s="180" t="s">
        <v>384</v>
      </c>
      <c r="E194" s="857"/>
      <c r="F194" s="351"/>
      <c r="G194" s="819"/>
      <c r="H194" s="811"/>
      <c r="I194" s="922"/>
      <c r="J194" s="15"/>
    </row>
    <row r="195" spans="1:10">
      <c r="A195" s="126" t="str">
        <f t="shared" si="12"/>
        <v>A1</v>
      </c>
      <c r="B195" s="13">
        <v>5</v>
      </c>
      <c r="C195" s="188"/>
      <c r="D195" s="238" t="s">
        <v>449</v>
      </c>
      <c r="E195" s="868"/>
      <c r="F195" s="194" t="s">
        <v>12</v>
      </c>
      <c r="G195" s="784">
        <f>+'MAPA 1-ISKAZ KOLIČINA'!AV16</f>
        <v>100.39590000000001</v>
      </c>
      <c r="H195" s="788"/>
      <c r="I195" s="176">
        <f>G195*H195</f>
        <v>0</v>
      </c>
      <c r="J195" s="15"/>
    </row>
    <row r="196" spans="1:10" ht="12" customHeight="1">
      <c r="A196" s="126" t="str">
        <f t="shared" si="12"/>
        <v>A1</v>
      </c>
      <c r="B196" s="13">
        <v>5</v>
      </c>
      <c r="E196" s="883"/>
      <c r="G196" s="352"/>
      <c r="H196" s="797"/>
      <c r="I196" s="144"/>
      <c r="J196" s="15"/>
    </row>
    <row r="197" spans="1:10" ht="212.25" customHeight="1">
      <c r="A197" s="126" t="str">
        <f t="shared" si="12"/>
        <v>A1</v>
      </c>
      <c r="B197" s="13">
        <v>5</v>
      </c>
      <c r="C197" s="202" t="s">
        <v>487</v>
      </c>
      <c r="D197" s="180" t="s">
        <v>906</v>
      </c>
      <c r="E197" s="857"/>
      <c r="G197" s="352"/>
      <c r="H197" s="797"/>
      <c r="I197" s="144"/>
      <c r="J197" s="15"/>
    </row>
    <row r="198" spans="1:10" ht="12" customHeight="1">
      <c r="A198" s="126" t="str">
        <f t="shared" si="12"/>
        <v>A1</v>
      </c>
      <c r="B198" s="13">
        <v>5</v>
      </c>
      <c r="C198" s="188"/>
      <c r="D198" s="238" t="s">
        <v>809</v>
      </c>
      <c r="E198" s="868"/>
      <c r="F198" s="194" t="s">
        <v>12</v>
      </c>
      <c r="G198" s="784">
        <f>4.4*1+3.48*1.2</f>
        <v>8.5760000000000005</v>
      </c>
      <c r="H198" s="788"/>
      <c r="I198" s="176">
        <f>G198*H198</f>
        <v>0</v>
      </c>
      <c r="J198" s="15"/>
    </row>
    <row r="199" spans="1:10" ht="12" customHeight="1">
      <c r="A199" s="126"/>
      <c r="C199" s="188"/>
      <c r="D199" s="238"/>
      <c r="E199" s="868"/>
      <c r="F199" s="194"/>
      <c r="G199" s="784"/>
      <c r="H199" s="809"/>
      <c r="I199" s="176"/>
      <c r="J199" s="15"/>
    </row>
    <row r="200" spans="1:10" ht="74.25" customHeight="1">
      <c r="A200" s="126"/>
      <c r="C200" s="349" t="s">
        <v>671</v>
      </c>
      <c r="D200" s="358" t="s">
        <v>826</v>
      </c>
      <c r="E200" s="885"/>
      <c r="G200" s="352"/>
      <c r="H200" s="797"/>
      <c r="I200" s="144"/>
      <c r="J200" s="15"/>
    </row>
    <row r="201" spans="1:10" ht="12" customHeight="1">
      <c r="A201" s="126"/>
      <c r="D201" s="64" t="s">
        <v>827</v>
      </c>
      <c r="E201" s="883"/>
      <c r="F201" s="829" t="s">
        <v>12</v>
      </c>
      <c r="G201" s="352">
        <f>+'MAPA 1-ISKAZ KOLIČINA'!BS16</f>
        <v>225.13</v>
      </c>
      <c r="H201" s="797"/>
      <c r="I201" s="176">
        <f>G201*H201</f>
        <v>0</v>
      </c>
      <c r="J201" s="15"/>
    </row>
    <row r="202" spans="1:10" ht="13.5" customHeight="1">
      <c r="A202" s="126"/>
      <c r="E202" s="883"/>
      <c r="G202" s="352"/>
      <c r="H202" s="797"/>
      <c r="I202" s="144"/>
      <c r="J202" s="15"/>
    </row>
    <row r="203" spans="1:10" ht="68.25" customHeight="1">
      <c r="A203" s="126"/>
      <c r="C203" s="349" t="s">
        <v>796</v>
      </c>
      <c r="D203" s="358" t="s">
        <v>828</v>
      </c>
      <c r="E203" s="885"/>
      <c r="G203" s="352"/>
      <c r="H203" s="797"/>
      <c r="I203" s="144"/>
      <c r="J203" s="15"/>
    </row>
    <row r="204" spans="1:10" ht="30" customHeight="1">
      <c r="A204" s="126"/>
      <c r="C204" s="349"/>
      <c r="D204" s="358" t="s">
        <v>829</v>
      </c>
      <c r="E204" s="885"/>
      <c r="G204" s="352"/>
      <c r="H204" s="797"/>
      <c r="I204" s="144"/>
      <c r="J204" s="15"/>
    </row>
    <row r="205" spans="1:10" ht="13.5" customHeight="1">
      <c r="A205" s="126"/>
      <c r="D205" s="64" t="s">
        <v>830</v>
      </c>
      <c r="E205" s="883"/>
      <c r="F205" s="829" t="s">
        <v>12</v>
      </c>
      <c r="G205" s="352">
        <f>+'MAPA 1-ISKAZ KOLIČINA'!BV16</f>
        <v>697.71252400000003</v>
      </c>
      <c r="H205" s="788"/>
      <c r="I205" s="176">
        <f>G205*H205</f>
        <v>0</v>
      </c>
      <c r="J205" s="15"/>
    </row>
    <row r="206" spans="1:10" ht="13.5" customHeight="1">
      <c r="A206" s="126"/>
      <c r="E206" s="883"/>
      <c r="G206" s="352"/>
      <c r="H206" s="797"/>
      <c r="I206" s="144"/>
      <c r="J206" s="15"/>
    </row>
    <row r="207" spans="1:10" ht="12" customHeight="1">
      <c r="A207" s="126" t="str">
        <f t="shared" si="12"/>
        <v>A1</v>
      </c>
      <c r="B207" s="13">
        <v>5</v>
      </c>
      <c r="C207" s="131">
        <f>C187</f>
        <v>5</v>
      </c>
      <c r="D207" s="119" t="str">
        <f>D187</f>
        <v>IZOLATERSKI RADOVI</v>
      </c>
      <c r="E207" s="869"/>
      <c r="F207" s="840" t="s">
        <v>2</v>
      </c>
      <c r="G207" s="798"/>
      <c r="H207" s="799"/>
      <c r="I207" s="153">
        <f>SUM(I189:I205)</f>
        <v>0</v>
      </c>
      <c r="J207" s="15"/>
    </row>
    <row r="208" spans="1:10" ht="12" customHeight="1">
      <c r="A208" s="126" t="str">
        <f t="shared" si="12"/>
        <v>A1</v>
      </c>
      <c r="C208" s="65"/>
      <c r="D208" s="66"/>
      <c r="E208" s="886"/>
      <c r="G208" s="352"/>
      <c r="H208" s="797"/>
      <c r="I208" s="144"/>
      <c r="J208" s="15"/>
    </row>
    <row r="209" spans="1:10" ht="12" customHeight="1">
      <c r="A209" s="126" t="str">
        <f t="shared" si="12"/>
        <v>A1</v>
      </c>
      <c r="C209" s="132"/>
      <c r="D209" s="44"/>
      <c r="E209" s="871"/>
      <c r="G209" s="352"/>
      <c r="H209" s="797"/>
      <c r="I209" s="144"/>
      <c r="J209" s="15"/>
    </row>
    <row r="210" spans="1:10" ht="12" customHeight="1">
      <c r="A210" s="126" t="str">
        <f t="shared" si="12"/>
        <v>A1</v>
      </c>
      <c r="B210" s="13">
        <v>6</v>
      </c>
      <c r="C210" s="125">
        <v>6</v>
      </c>
      <c r="D210" s="120" t="s">
        <v>82</v>
      </c>
      <c r="E210" s="865"/>
      <c r="F210" s="841"/>
      <c r="G210" s="801"/>
      <c r="H210" s="796"/>
      <c r="I210" s="154"/>
      <c r="J210" s="15"/>
    </row>
    <row r="211" spans="1:10" ht="12" customHeight="1">
      <c r="A211" s="126" t="str">
        <f t="shared" si="12"/>
        <v>A1</v>
      </c>
      <c r="B211" s="13">
        <v>6</v>
      </c>
      <c r="C211" s="155"/>
      <c r="D211" s="156"/>
      <c r="E211" s="887"/>
      <c r="F211" s="843"/>
      <c r="G211" s="804"/>
      <c r="H211" s="797"/>
      <c r="I211" s="144"/>
      <c r="J211" s="15"/>
    </row>
    <row r="212" spans="1:10" ht="76.5">
      <c r="A212" s="126" t="str">
        <f t="shared" si="12"/>
        <v>A1</v>
      </c>
      <c r="B212" s="13">
        <v>6</v>
      </c>
      <c r="C212" s="202" t="s">
        <v>73</v>
      </c>
      <c r="D212" s="180" t="s">
        <v>1062</v>
      </c>
      <c r="E212" s="857"/>
      <c r="F212" s="843"/>
      <c r="G212" s="804"/>
      <c r="H212" s="797"/>
      <c r="I212" s="144"/>
      <c r="J212" s="15"/>
    </row>
    <row r="213" spans="1:10" ht="204">
      <c r="A213" s="126" t="str">
        <f t="shared" si="12"/>
        <v>A1</v>
      </c>
      <c r="B213" s="13">
        <v>6</v>
      </c>
      <c r="C213" s="65"/>
      <c r="D213" s="180" t="s">
        <v>1064</v>
      </c>
      <c r="E213" s="857"/>
      <c r="G213" s="352"/>
      <c r="H213" s="797"/>
      <c r="I213" s="144"/>
      <c r="J213" s="15"/>
    </row>
    <row r="214" spans="1:10" ht="30" customHeight="1">
      <c r="A214" s="126" t="str">
        <f t="shared" si="12"/>
        <v>A1</v>
      </c>
      <c r="B214" s="13">
        <v>6</v>
      </c>
      <c r="C214" s="65"/>
      <c r="D214" s="58" t="s">
        <v>450</v>
      </c>
      <c r="E214" s="888"/>
      <c r="G214" s="352"/>
      <c r="H214" s="797"/>
      <c r="I214" s="144"/>
      <c r="J214" s="15"/>
    </row>
    <row r="215" spans="1:10">
      <c r="A215" s="126" t="str">
        <f t="shared" si="12"/>
        <v>A1</v>
      </c>
      <c r="B215" s="13">
        <v>6</v>
      </c>
      <c r="C215" s="202"/>
      <c r="D215" s="209" t="s">
        <v>451</v>
      </c>
      <c r="E215" s="889"/>
      <c r="F215" s="192" t="s">
        <v>12</v>
      </c>
      <c r="G215" s="784">
        <f>+'MAPA 1-ISKAZ KOLIČINA'!BW16</f>
        <v>317.17510000000004</v>
      </c>
      <c r="H215" s="810"/>
      <c r="I215" s="205">
        <f>G215*H215</f>
        <v>0</v>
      </c>
      <c r="J215" s="15"/>
    </row>
    <row r="216" spans="1:10" ht="12" customHeight="1">
      <c r="A216" s="126" t="str">
        <f t="shared" si="12"/>
        <v>A1</v>
      </c>
      <c r="B216" s="13">
        <v>6</v>
      </c>
      <c r="C216" s="202"/>
      <c r="D216" s="209"/>
      <c r="E216" s="889"/>
      <c r="F216" s="192"/>
      <c r="G216" s="710"/>
      <c r="H216" s="810"/>
      <c r="I216" s="205"/>
      <c r="J216" s="15"/>
    </row>
    <row r="217" spans="1:10" ht="51">
      <c r="A217" s="126"/>
      <c r="C217" s="202" t="s">
        <v>83</v>
      </c>
      <c r="D217" s="209" t="s">
        <v>1063</v>
      </c>
      <c r="E217" s="889"/>
      <c r="F217" s="192"/>
      <c r="G217" s="710"/>
      <c r="H217" s="810"/>
      <c r="I217" s="205"/>
      <c r="J217" s="15"/>
    </row>
    <row r="218" spans="1:10">
      <c r="A218" s="126"/>
      <c r="C218" s="202"/>
      <c r="D218" s="209" t="s">
        <v>451</v>
      </c>
      <c r="E218" s="889"/>
      <c r="F218" s="192" t="s">
        <v>12</v>
      </c>
      <c r="G218" s="710">
        <f>+'MAPA 1-ISKAZ KOLIČINA'!BX16</f>
        <v>121</v>
      </c>
      <c r="H218" s="810"/>
      <c r="I218" s="205">
        <f>G218*H218</f>
        <v>0</v>
      </c>
      <c r="J218" s="15"/>
    </row>
    <row r="219" spans="1:10" ht="12" customHeight="1">
      <c r="A219" s="126"/>
      <c r="C219" s="202"/>
      <c r="D219" s="209"/>
      <c r="E219" s="889"/>
      <c r="F219" s="192"/>
      <c r="G219" s="710"/>
      <c r="H219" s="810"/>
      <c r="I219" s="205"/>
      <c r="J219" s="15"/>
    </row>
    <row r="220" spans="1:10" ht="51">
      <c r="A220" s="126" t="str">
        <f t="shared" si="12"/>
        <v>A1</v>
      </c>
      <c r="B220" s="13">
        <v>6</v>
      </c>
      <c r="C220" s="202" t="s">
        <v>84</v>
      </c>
      <c r="D220" s="199" t="s">
        <v>907</v>
      </c>
      <c r="E220" s="884"/>
      <c r="F220" s="192"/>
      <c r="G220" s="784"/>
      <c r="H220" s="789"/>
      <c r="I220" s="924"/>
      <c r="J220" s="15"/>
    </row>
    <row r="221" spans="1:10">
      <c r="A221" s="126" t="str">
        <f t="shared" si="12"/>
        <v>A1</v>
      </c>
      <c r="B221" s="13">
        <v>6</v>
      </c>
      <c r="C221" s="202"/>
      <c r="D221" s="199" t="s">
        <v>757</v>
      </c>
      <c r="E221" s="884"/>
      <c r="F221" s="192" t="s">
        <v>8</v>
      </c>
      <c r="G221" s="710">
        <f>+'MAPA 1-ISKAZ KOLIČINA'!CA16</f>
        <v>101.41000000000001</v>
      </c>
      <c r="H221" s="810"/>
      <c r="I221" s="205">
        <f>G221*H221</f>
        <v>0</v>
      </c>
      <c r="J221" s="15"/>
    </row>
    <row r="222" spans="1:10" ht="12" customHeight="1">
      <c r="A222" s="126" t="str">
        <f t="shared" si="12"/>
        <v>A1</v>
      </c>
      <c r="B222" s="13">
        <v>6</v>
      </c>
      <c r="C222" s="202"/>
      <c r="D222" s="209"/>
      <c r="E222" s="889"/>
      <c r="F222" s="192"/>
      <c r="G222" s="710"/>
      <c r="H222" s="810"/>
      <c r="I222" s="205"/>
      <c r="J222" s="15"/>
    </row>
    <row r="223" spans="1:10" ht="104.25" customHeight="1">
      <c r="A223" s="126" t="str">
        <f t="shared" si="12"/>
        <v>A1</v>
      </c>
      <c r="B223" s="13">
        <v>6</v>
      </c>
      <c r="C223" s="202" t="s">
        <v>484</v>
      </c>
      <c r="D223" s="199" t="s">
        <v>770</v>
      </c>
      <c r="E223" s="884"/>
      <c r="F223" s="351"/>
      <c r="G223" s="819"/>
      <c r="H223" s="915"/>
      <c r="I223" s="922"/>
    </row>
    <row r="224" spans="1:10" ht="13.9" customHeight="1">
      <c r="A224" s="126" t="str">
        <f t="shared" si="12"/>
        <v>A1</v>
      </c>
      <c r="B224" s="13">
        <v>6</v>
      </c>
      <c r="C224" s="65"/>
      <c r="D224" s="209" t="s">
        <v>453</v>
      </c>
      <c r="E224" s="889"/>
      <c r="F224" s="192" t="s">
        <v>12</v>
      </c>
      <c r="G224" s="784">
        <f>+'MAPA 1-ISKAZ KOLIČINA'!BY16</f>
        <v>310.5</v>
      </c>
      <c r="H224" s="810"/>
      <c r="I224" s="205">
        <f>G224*H224</f>
        <v>0</v>
      </c>
    </row>
    <row r="225" spans="1:11" ht="13.9" customHeight="1">
      <c r="A225" s="126"/>
      <c r="C225" s="65"/>
      <c r="D225" s="209"/>
      <c r="E225" s="889"/>
      <c r="F225" s="192"/>
      <c r="G225" s="784"/>
      <c r="H225" s="810"/>
      <c r="I225" s="205"/>
    </row>
    <row r="226" spans="1:11" ht="51">
      <c r="A226" s="126"/>
      <c r="C226" s="202" t="s">
        <v>1074</v>
      </c>
      <c r="D226" s="199" t="s">
        <v>1070</v>
      </c>
      <c r="E226" s="884"/>
      <c r="F226" s="805"/>
      <c r="G226" s="820"/>
      <c r="H226" s="916"/>
      <c r="I226" s="409"/>
    </row>
    <row r="227" spans="1:11" ht="63.75">
      <c r="A227" s="126"/>
      <c r="C227" s="202" t="s">
        <v>1065</v>
      </c>
      <c r="D227" s="199" t="s">
        <v>1071</v>
      </c>
      <c r="E227" s="884"/>
      <c r="F227" s="844"/>
      <c r="G227" s="807"/>
      <c r="H227" s="916"/>
      <c r="I227" s="409"/>
    </row>
    <row r="228" spans="1:11" ht="38.25">
      <c r="A228" s="126"/>
      <c r="C228" s="202" t="s">
        <v>1065</v>
      </c>
      <c r="D228" s="199" t="s">
        <v>1066</v>
      </c>
      <c r="E228" s="884"/>
      <c r="F228" s="844"/>
      <c r="G228" s="807"/>
      <c r="H228" s="916"/>
      <c r="I228" s="409"/>
    </row>
    <row r="229" spans="1:11">
      <c r="A229" s="126"/>
      <c r="C229" s="202" t="s">
        <v>1065</v>
      </c>
      <c r="D229" s="199" t="s">
        <v>1067</v>
      </c>
      <c r="E229" s="884"/>
      <c r="F229" s="844"/>
      <c r="G229" s="807"/>
      <c r="H229" s="916"/>
      <c r="I229" s="409"/>
    </row>
    <row r="230" spans="1:11" ht="38.25">
      <c r="A230" s="126"/>
      <c r="C230" s="202" t="s">
        <v>1065</v>
      </c>
      <c r="D230" s="199" t="s">
        <v>1072</v>
      </c>
      <c r="E230" s="884"/>
      <c r="F230" s="844"/>
      <c r="G230" s="807"/>
      <c r="H230" s="916"/>
      <c r="I230" s="409"/>
    </row>
    <row r="231" spans="1:11" ht="114.75">
      <c r="A231" s="126"/>
      <c r="C231" s="202" t="s">
        <v>1065</v>
      </c>
      <c r="D231" s="199" t="s">
        <v>1073</v>
      </c>
      <c r="E231" s="884"/>
      <c r="F231" s="844"/>
      <c r="G231" s="806"/>
      <c r="H231" s="917"/>
      <c r="I231" s="409"/>
    </row>
    <row r="232" spans="1:11" ht="38.25">
      <c r="A232" s="126"/>
      <c r="C232" s="202" t="s">
        <v>1065</v>
      </c>
      <c r="D232" s="199" t="s">
        <v>1068</v>
      </c>
      <c r="E232" s="884"/>
      <c r="F232" s="805"/>
      <c r="G232" s="820"/>
      <c r="H232" s="916"/>
      <c r="I232" s="409"/>
    </row>
    <row r="233" spans="1:11">
      <c r="A233" s="126" t="str">
        <f t="shared" si="12"/>
        <v>A1</v>
      </c>
      <c r="B233" s="13">
        <v>6</v>
      </c>
      <c r="C233" s="202"/>
      <c r="D233" s="199" t="s">
        <v>1069</v>
      </c>
      <c r="E233" s="884"/>
      <c r="F233" s="410" t="s">
        <v>12</v>
      </c>
      <c r="G233" s="821">
        <v>25</v>
      </c>
      <c r="H233" s="918"/>
      <c r="I233" s="411">
        <f>G233*H233</f>
        <v>0</v>
      </c>
    </row>
    <row r="234" spans="1:11" ht="12" customHeight="1">
      <c r="A234" s="126" t="str">
        <f t="shared" si="12"/>
        <v>A1</v>
      </c>
      <c r="B234" s="13">
        <v>6</v>
      </c>
      <c r="C234" s="131">
        <f>C210</f>
        <v>6</v>
      </c>
      <c r="D234" s="119" t="str">
        <f>D210</f>
        <v>FASADERSKI RADOVI</v>
      </c>
      <c r="E234" s="869"/>
      <c r="F234" s="840" t="s">
        <v>2</v>
      </c>
      <c r="G234" s="798"/>
      <c r="H234" s="799"/>
      <c r="I234" s="153">
        <f>SUM(I213:I233)</f>
        <v>0</v>
      </c>
    </row>
    <row r="235" spans="1:11" ht="12" customHeight="1">
      <c r="A235" s="126"/>
      <c r="C235" s="155"/>
      <c r="D235" s="156"/>
      <c r="E235" s="887"/>
      <c r="F235" s="845"/>
      <c r="G235" s="352"/>
      <c r="H235" s="797"/>
      <c r="I235" s="145"/>
    </row>
    <row r="236" spans="1:11" ht="12" customHeight="1">
      <c r="A236" s="126" t="str">
        <f t="shared" si="12"/>
        <v>A1</v>
      </c>
      <c r="C236" s="65"/>
      <c r="D236" s="66"/>
      <c r="E236" s="886"/>
      <c r="G236" s="352"/>
      <c r="H236" s="797"/>
      <c r="I236" s="144"/>
    </row>
    <row r="237" spans="1:11" ht="12" customHeight="1">
      <c r="A237" s="126" t="str">
        <f t="shared" si="12"/>
        <v>A1</v>
      </c>
      <c r="B237" s="13">
        <v>7</v>
      </c>
      <c r="C237" s="125">
        <v>7</v>
      </c>
      <c r="D237" s="120" t="s">
        <v>489</v>
      </c>
      <c r="E237" s="865"/>
      <c r="F237" s="841"/>
      <c r="G237" s="801"/>
      <c r="H237" s="796"/>
      <c r="I237" s="154"/>
    </row>
    <row r="238" spans="1:11" ht="12" customHeight="1">
      <c r="A238" s="126" t="str">
        <f t="shared" si="12"/>
        <v>A1</v>
      </c>
      <c r="B238" s="13">
        <v>7</v>
      </c>
      <c r="C238" s="65"/>
      <c r="D238" s="342"/>
      <c r="E238" s="890"/>
      <c r="G238" s="352"/>
      <c r="H238" s="797"/>
      <c r="I238" s="144"/>
    </row>
    <row r="239" spans="1:11" ht="36" customHeight="1">
      <c r="A239" s="126" t="str">
        <f t="shared" si="12"/>
        <v>A1</v>
      </c>
      <c r="B239" s="13">
        <v>7</v>
      </c>
      <c r="C239" s="202" t="s">
        <v>797</v>
      </c>
      <c r="D239" s="162" t="s">
        <v>831</v>
      </c>
      <c r="E239" s="882"/>
      <c r="F239" s="846"/>
      <c r="G239" s="822"/>
      <c r="H239" s="807"/>
      <c r="I239" s="925"/>
      <c r="J239"/>
      <c r="K239" s="230"/>
    </row>
    <row r="240" spans="1:11">
      <c r="A240" s="126"/>
      <c r="C240" s="202"/>
      <c r="D240" s="236" t="s">
        <v>832</v>
      </c>
      <c r="E240" s="881"/>
      <c r="F240" s="846"/>
      <c r="G240" s="822"/>
      <c r="H240" s="807"/>
      <c r="I240" s="925"/>
      <c r="J240"/>
      <c r="K240" s="230"/>
    </row>
    <row r="241" spans="1:11" ht="12" customHeight="1">
      <c r="A241" s="126"/>
      <c r="C241" s="202"/>
      <c r="D241" s="255" t="s">
        <v>490</v>
      </c>
      <c r="E241" s="891"/>
      <c r="F241" s="846"/>
      <c r="G241" s="822"/>
      <c r="H241" s="807"/>
      <c r="I241" s="925"/>
      <c r="J241"/>
      <c r="K241" s="230"/>
    </row>
    <row r="242" spans="1:11" ht="38.25">
      <c r="A242" s="126" t="s">
        <v>5</v>
      </c>
      <c r="B242" s="13">
        <v>7</v>
      </c>
      <c r="C242" s="231"/>
      <c r="D242" s="255" t="s">
        <v>772</v>
      </c>
      <c r="E242" s="891"/>
      <c r="F242" s="351"/>
      <c r="G242" s="823"/>
      <c r="H242" s="919"/>
      <c r="I242" s="926"/>
      <c r="J242" s="232"/>
      <c r="K242" s="233"/>
    </row>
    <row r="243" spans="1:11" ht="25.5">
      <c r="A243" s="126"/>
      <c r="C243" s="231"/>
      <c r="D243" s="255" t="s">
        <v>773</v>
      </c>
      <c r="E243" s="891"/>
      <c r="F243" s="351"/>
      <c r="G243" s="823"/>
      <c r="H243" s="919"/>
      <c r="I243" s="926"/>
      <c r="J243" s="232"/>
      <c r="K243" s="233"/>
    </row>
    <row r="244" spans="1:11" ht="25.5">
      <c r="A244" s="126"/>
      <c r="C244" s="231"/>
      <c r="D244" s="343" t="s">
        <v>771</v>
      </c>
      <c r="E244" s="892"/>
      <c r="F244" s="351"/>
      <c r="G244" s="823"/>
      <c r="H244" s="919"/>
      <c r="I244" s="926"/>
      <c r="J244" s="232"/>
      <c r="K244" s="233"/>
    </row>
    <row r="245" spans="1:11">
      <c r="A245" s="126"/>
      <c r="C245" s="231"/>
      <c r="D245" s="255" t="s">
        <v>490</v>
      </c>
      <c r="E245" s="891"/>
      <c r="F245" s="351"/>
      <c r="G245" s="823"/>
      <c r="H245" s="919"/>
      <c r="I245" s="926"/>
      <c r="J245" s="232"/>
      <c r="K245" s="233"/>
    </row>
    <row r="246" spans="1:11" ht="51">
      <c r="A246" s="126"/>
      <c r="C246" s="231"/>
      <c r="D246" s="343" t="s">
        <v>1083</v>
      </c>
      <c r="E246" s="892"/>
      <c r="F246" s="351"/>
      <c r="G246" s="823"/>
      <c r="H246" s="919"/>
      <c r="I246" s="926"/>
      <c r="J246" s="232"/>
      <c r="K246" s="233"/>
    </row>
    <row r="247" spans="1:11">
      <c r="A247" s="126"/>
      <c r="C247" s="231"/>
      <c r="D247" s="239" t="s">
        <v>491</v>
      </c>
      <c r="E247" s="853"/>
      <c r="F247" s="351" t="s">
        <v>12</v>
      </c>
      <c r="G247" s="804">
        <f>+'MAPA 1-ISKAZ KOLIČINA'!BU16</f>
        <v>711.26034000000004</v>
      </c>
      <c r="H247" s="788"/>
      <c r="I247" s="205">
        <f>G247*H247</f>
        <v>0</v>
      </c>
      <c r="J247" s="232"/>
      <c r="K247" s="233"/>
    </row>
    <row r="248" spans="1:11">
      <c r="A248" s="126"/>
      <c r="C248" s="231"/>
      <c r="D248" s="239"/>
      <c r="E248" s="853"/>
      <c r="F248" s="351"/>
      <c r="G248" s="804"/>
      <c r="H248" s="919"/>
      <c r="I248" s="926"/>
      <c r="J248" s="232"/>
      <c r="K248" s="233"/>
    </row>
    <row r="249" spans="1:11" ht="12" customHeight="1">
      <c r="A249" s="126" t="s">
        <v>5</v>
      </c>
      <c r="B249" s="13">
        <v>7</v>
      </c>
      <c r="C249" s="131">
        <f>C237</f>
        <v>7</v>
      </c>
      <c r="D249" s="119" t="str">
        <f>D237</f>
        <v>KROVOPOKRIVAČKI RADOVI</v>
      </c>
      <c r="E249" s="869"/>
      <c r="F249" s="840" t="s">
        <v>2</v>
      </c>
      <c r="G249" s="798"/>
      <c r="H249" s="799"/>
      <c r="I249" s="153">
        <f>SUM(I238:I248)</f>
        <v>0</v>
      </c>
    </row>
    <row r="250" spans="1:11" ht="12" customHeight="1">
      <c r="A250" s="126"/>
      <c r="C250" s="155"/>
      <c r="D250" s="156"/>
      <c r="E250" s="887"/>
      <c r="F250" s="845"/>
      <c r="G250" s="352"/>
      <c r="H250" s="797"/>
      <c r="I250" s="145"/>
    </row>
    <row r="251" spans="1:11" ht="12" customHeight="1">
      <c r="A251" s="126"/>
      <c r="C251" s="155"/>
      <c r="D251" s="156"/>
      <c r="E251" s="887"/>
      <c r="F251" s="845"/>
      <c r="G251" s="352"/>
      <c r="H251" s="797"/>
      <c r="I251" s="145"/>
    </row>
    <row r="252" spans="1:11" ht="12" customHeight="1">
      <c r="A252" s="126" t="str">
        <f t="shared" si="12"/>
        <v>A1</v>
      </c>
      <c r="B252" s="13">
        <v>8</v>
      </c>
      <c r="C252" s="125">
        <v>8</v>
      </c>
      <c r="D252" s="120" t="s">
        <v>387</v>
      </c>
      <c r="E252" s="865"/>
      <c r="F252" s="841"/>
      <c r="G252" s="801"/>
      <c r="H252" s="796"/>
      <c r="I252" s="154"/>
      <c r="J252" s="15"/>
    </row>
    <row r="253" spans="1:11" ht="12" customHeight="1">
      <c r="A253" s="126"/>
      <c r="C253" s="155"/>
      <c r="D253" s="156"/>
      <c r="E253" s="887"/>
      <c r="F253" s="843"/>
      <c r="G253" s="804"/>
      <c r="H253" s="797"/>
      <c r="I253" s="144"/>
      <c r="J253" s="15"/>
    </row>
    <row r="254" spans="1:11" ht="102">
      <c r="A254" s="126" t="str">
        <f t="shared" si="12"/>
        <v>A1</v>
      </c>
      <c r="B254" s="13">
        <v>8</v>
      </c>
      <c r="C254" s="202" t="s">
        <v>81</v>
      </c>
      <c r="D254" s="204" t="s">
        <v>1000</v>
      </c>
      <c r="E254" s="875"/>
      <c r="F254" s="843"/>
      <c r="G254" s="804"/>
      <c r="H254" s="797"/>
      <c r="I254" s="144"/>
      <c r="J254" s="15"/>
    </row>
    <row r="255" spans="1:11" ht="12" customHeight="1">
      <c r="A255" s="126" t="str">
        <f t="shared" si="12"/>
        <v>A1</v>
      </c>
      <c r="B255" s="13">
        <v>8</v>
      </c>
      <c r="C255" s="155"/>
      <c r="D255" s="204" t="s">
        <v>382</v>
      </c>
      <c r="E255" s="875"/>
      <c r="F255" s="847" t="s">
        <v>12</v>
      </c>
      <c r="G255" s="804">
        <f>(+'MAPA 1-ISKAZ KOLIČINA'!AZ16)*1.2</f>
        <v>22.370039999999999</v>
      </c>
      <c r="H255" s="788"/>
      <c r="I255" s="47">
        <f>IF($F255="","",$G255*H255)</f>
        <v>0</v>
      </c>
      <c r="J255" s="15"/>
    </row>
    <row r="256" spans="1:11" ht="12" customHeight="1">
      <c r="A256" s="126"/>
      <c r="C256" s="155"/>
      <c r="D256" s="156"/>
      <c r="E256" s="887"/>
      <c r="F256" s="843"/>
      <c r="G256" s="804"/>
      <c r="H256" s="797"/>
      <c r="I256" s="144"/>
      <c r="J256" s="15"/>
    </row>
    <row r="257" spans="1:10" ht="93.75" customHeight="1">
      <c r="A257" s="126"/>
      <c r="C257" s="347" t="s">
        <v>426</v>
      </c>
      <c r="D257" s="204" t="s">
        <v>789</v>
      </c>
      <c r="E257" s="875"/>
      <c r="F257" s="843"/>
      <c r="G257" s="804"/>
      <c r="H257" s="797"/>
      <c r="I257" s="144"/>
      <c r="J257" s="15"/>
    </row>
    <row r="258" spans="1:10" ht="12" customHeight="1">
      <c r="A258" s="126" t="str">
        <f t="shared" si="12"/>
        <v>A1</v>
      </c>
      <c r="B258" s="13">
        <v>8</v>
      </c>
      <c r="C258" s="155"/>
      <c r="D258" s="204" t="s">
        <v>382</v>
      </c>
      <c r="E258" s="875"/>
      <c r="F258" s="847" t="s">
        <v>12</v>
      </c>
      <c r="G258" s="804">
        <f>(+'MAPA 1-ISKAZ KOLIČINA'!BA16)*1.2</f>
        <v>2.16276</v>
      </c>
      <c r="H258" s="788"/>
      <c r="I258" s="47">
        <f>IF($F258="","",$G258*H258)</f>
        <v>0</v>
      </c>
      <c r="J258" s="15"/>
    </row>
    <row r="259" spans="1:10" ht="12" customHeight="1">
      <c r="A259" s="126" t="str">
        <f t="shared" si="12"/>
        <v>A1</v>
      </c>
      <c r="B259" s="13">
        <v>8</v>
      </c>
      <c r="C259" s="155"/>
      <c r="D259" s="156"/>
      <c r="E259" s="887"/>
      <c r="F259" s="843"/>
      <c r="G259" s="804"/>
      <c r="H259" s="797"/>
      <c r="I259" s="144"/>
      <c r="J259" s="15"/>
    </row>
    <row r="260" spans="1:10" ht="122.45" customHeight="1">
      <c r="A260" s="126" t="str">
        <f t="shared" si="12"/>
        <v>A1</v>
      </c>
      <c r="B260" s="13">
        <v>8</v>
      </c>
      <c r="C260" s="202" t="s">
        <v>677</v>
      </c>
      <c r="D260" s="204" t="s">
        <v>425</v>
      </c>
      <c r="E260" s="875"/>
      <c r="F260" s="351"/>
      <c r="G260" s="819"/>
      <c r="H260" s="811"/>
      <c r="I260" s="922"/>
      <c r="J260" s="15"/>
    </row>
    <row r="261" spans="1:10">
      <c r="A261" s="126" t="str">
        <f t="shared" si="12"/>
        <v>A1</v>
      </c>
      <c r="B261" s="13">
        <v>8</v>
      </c>
      <c r="C261" s="202"/>
      <c r="D261" s="204" t="s">
        <v>382</v>
      </c>
      <c r="E261" s="875"/>
      <c r="F261" s="192" t="s">
        <v>12</v>
      </c>
      <c r="G261" s="784">
        <f>+'MAPA 1-ISKAZ KOLIČINA'!BB16</f>
        <v>14.117999999999999</v>
      </c>
      <c r="H261" s="788"/>
      <c r="I261" s="47">
        <f>IF($F261="","",$G261*H261)</f>
        <v>0</v>
      </c>
      <c r="J261" s="15"/>
    </row>
    <row r="262" spans="1:10">
      <c r="A262" s="126" t="str">
        <f t="shared" si="12"/>
        <v>A1</v>
      </c>
      <c r="B262" s="13">
        <v>8</v>
      </c>
      <c r="C262" s="202"/>
      <c r="D262" s="204"/>
      <c r="E262" s="875"/>
      <c r="F262" s="192"/>
      <c r="G262" s="784"/>
      <c r="H262" s="809"/>
      <c r="I262" s="47"/>
      <c r="J262" s="15"/>
    </row>
    <row r="263" spans="1:10" ht="102">
      <c r="A263" s="126" t="str">
        <f t="shared" si="12"/>
        <v>A1</v>
      </c>
      <c r="B263" s="13">
        <v>8</v>
      </c>
      <c r="C263" s="202" t="s">
        <v>679</v>
      </c>
      <c r="D263" s="204" t="s">
        <v>1051</v>
      </c>
      <c r="E263" s="875"/>
      <c r="F263" s="192"/>
      <c r="G263" s="784"/>
      <c r="H263" s="809"/>
      <c r="I263" s="47"/>
      <c r="J263" s="15"/>
    </row>
    <row r="264" spans="1:10">
      <c r="A264" s="126" t="str">
        <f t="shared" si="12"/>
        <v>A1</v>
      </c>
      <c r="B264" s="13">
        <v>8</v>
      </c>
      <c r="C264" s="202"/>
      <c r="D264" s="204" t="s">
        <v>382</v>
      </c>
      <c r="E264" s="875"/>
      <c r="F264" s="192" t="s">
        <v>12</v>
      </c>
      <c r="G264" s="784">
        <f>G503</f>
        <v>225.13</v>
      </c>
      <c r="H264" s="788"/>
      <c r="I264" s="47">
        <f>IF($F264="","",$G264*H264)</f>
        <v>0</v>
      </c>
      <c r="J264" s="15"/>
    </row>
    <row r="265" spans="1:10">
      <c r="A265" s="126" t="str">
        <f t="shared" si="12"/>
        <v>A1</v>
      </c>
      <c r="B265" s="13">
        <v>8</v>
      </c>
      <c r="C265" s="202"/>
      <c r="D265" s="204"/>
      <c r="E265" s="875"/>
      <c r="F265" s="192"/>
      <c r="G265" s="784"/>
      <c r="H265" s="809"/>
      <c r="I265" s="47"/>
      <c r="J265" s="15"/>
    </row>
    <row r="266" spans="1:10" s="49" customFormat="1">
      <c r="A266" s="405" t="str">
        <f t="shared" si="12"/>
        <v>A1</v>
      </c>
      <c r="B266" s="202">
        <v>8</v>
      </c>
      <c r="C266" s="202" t="s">
        <v>680</v>
      </c>
      <c r="D266" s="204" t="s">
        <v>833</v>
      </c>
      <c r="E266" s="875"/>
      <c r="F266" s="192"/>
      <c r="G266" s="784"/>
      <c r="H266" s="809"/>
      <c r="I266" s="47"/>
    </row>
    <row r="267" spans="1:10" s="49" customFormat="1">
      <c r="A267" s="405" t="str">
        <f t="shared" si="12"/>
        <v>A1</v>
      </c>
      <c r="B267" s="202">
        <v>8</v>
      </c>
      <c r="C267" s="202"/>
      <c r="D267" s="204" t="s">
        <v>382</v>
      </c>
      <c r="E267" s="875"/>
      <c r="F267" s="192" t="s">
        <v>12</v>
      </c>
      <c r="G267" s="784">
        <f>+'MAPA 1-ISKAZ KOLIČINA'!BR16</f>
        <v>225.13</v>
      </c>
      <c r="H267" s="810"/>
      <c r="I267" s="47">
        <f>IF($F267="","",$G267*H267)</f>
        <v>0</v>
      </c>
    </row>
    <row r="268" spans="1:10">
      <c r="A268" s="126" t="str">
        <f t="shared" si="12"/>
        <v>A1</v>
      </c>
      <c r="B268" s="13">
        <v>8</v>
      </c>
      <c r="C268" s="202"/>
      <c r="D268" s="204"/>
      <c r="E268" s="875"/>
      <c r="F268" s="192"/>
      <c r="G268" s="784"/>
      <c r="H268" s="809"/>
      <c r="I268" s="47"/>
      <c r="J268" s="15"/>
    </row>
    <row r="269" spans="1:10" ht="25.5">
      <c r="A269" s="126" t="str">
        <f t="shared" si="12"/>
        <v>A1</v>
      </c>
      <c r="B269" s="13">
        <v>8</v>
      </c>
      <c r="C269" s="202" t="s">
        <v>681</v>
      </c>
      <c r="D269" s="204" t="s">
        <v>834</v>
      </c>
      <c r="E269" s="875"/>
      <c r="F269" s="192" t="s">
        <v>12</v>
      </c>
      <c r="G269" s="784">
        <f>(2.5*2.69+2.4*2.69+1.83*2.69*2+3.05*2.69+3.05*0.6+3.3*2.69+3.3*2.69+5.6*0.6)*1.1</f>
        <v>59.592389999999995</v>
      </c>
      <c r="H269" s="809"/>
      <c r="I269" s="47">
        <f>G269*H269</f>
        <v>0</v>
      </c>
      <c r="J269" s="15"/>
    </row>
    <row r="270" spans="1:10">
      <c r="A270" s="126"/>
      <c r="C270" s="202"/>
      <c r="D270" s="204"/>
      <c r="E270" s="875"/>
      <c r="F270" s="192"/>
      <c r="G270" s="784"/>
      <c r="H270" s="809"/>
      <c r="I270" s="47"/>
      <c r="J270" s="15"/>
    </row>
    <row r="271" spans="1:10">
      <c r="A271" s="126"/>
      <c r="C271" s="202" t="s">
        <v>759</v>
      </c>
      <c r="D271" s="204" t="s">
        <v>859</v>
      </c>
      <c r="E271" s="875"/>
      <c r="F271" s="192"/>
      <c r="G271" s="784"/>
      <c r="H271" s="809"/>
      <c r="I271" s="47"/>
      <c r="J271" s="15"/>
    </row>
    <row r="272" spans="1:10" ht="25.5">
      <c r="A272" s="126"/>
      <c r="C272" s="202"/>
      <c r="D272" s="204" t="s">
        <v>869</v>
      </c>
      <c r="E272" s="875"/>
      <c r="F272" s="192"/>
      <c r="G272" s="784"/>
      <c r="H272" s="809"/>
      <c r="I272" s="47"/>
      <c r="J272" s="15"/>
    </row>
    <row r="273" spans="1:10">
      <c r="A273" s="126"/>
      <c r="C273" s="202"/>
      <c r="D273" s="204" t="s">
        <v>862</v>
      </c>
      <c r="E273" s="875"/>
      <c r="F273" s="192"/>
      <c r="G273" s="784"/>
      <c r="H273" s="809"/>
      <c r="I273" s="47"/>
      <c r="J273" s="15"/>
    </row>
    <row r="274" spans="1:10" ht="25.5">
      <c r="A274" s="126"/>
      <c r="C274" s="202"/>
      <c r="D274" s="204" t="s">
        <v>863</v>
      </c>
      <c r="E274" s="875"/>
      <c r="F274" s="192"/>
      <c r="G274" s="784"/>
      <c r="H274" s="809"/>
      <c r="I274" s="47"/>
      <c r="J274" s="15"/>
    </row>
    <row r="275" spans="1:10" ht="25.5">
      <c r="A275" s="126"/>
      <c r="C275" s="202"/>
      <c r="D275" s="204" t="s">
        <v>864</v>
      </c>
      <c r="E275" s="875"/>
      <c r="F275" s="192"/>
      <c r="G275" s="784"/>
      <c r="H275" s="809"/>
      <c r="I275" s="47"/>
      <c r="J275" s="15"/>
    </row>
    <row r="276" spans="1:10" ht="25.5">
      <c r="A276" s="126"/>
      <c r="C276" s="202"/>
      <c r="D276" s="204" t="s">
        <v>865</v>
      </c>
      <c r="E276" s="875"/>
      <c r="F276" s="192"/>
      <c r="G276" s="784"/>
      <c r="H276" s="809"/>
      <c r="I276" s="47"/>
      <c r="J276" s="15"/>
    </row>
    <row r="277" spans="1:10">
      <c r="A277" s="126"/>
      <c r="C277" s="202"/>
      <c r="D277" s="204" t="s">
        <v>866</v>
      </c>
      <c r="E277" s="875"/>
      <c r="F277" s="192"/>
      <c r="G277" s="784"/>
      <c r="H277" s="809"/>
      <c r="I277" s="47"/>
      <c r="J277" s="15"/>
    </row>
    <row r="278" spans="1:10">
      <c r="A278" s="126"/>
      <c r="C278" s="202"/>
      <c r="D278" s="204" t="s">
        <v>868</v>
      </c>
      <c r="E278" s="875"/>
      <c r="F278" s="192" t="s">
        <v>11</v>
      </c>
      <c r="G278" s="784">
        <v>3</v>
      </c>
      <c r="H278" s="809"/>
      <c r="I278" s="47">
        <f>IF($F278="","",$G278*H278)</f>
        <v>0</v>
      </c>
      <c r="J278" s="15"/>
    </row>
    <row r="279" spans="1:10">
      <c r="A279" s="126"/>
      <c r="C279" s="202"/>
      <c r="D279" s="204" t="s">
        <v>867</v>
      </c>
      <c r="E279" s="875"/>
      <c r="F279" s="192" t="s">
        <v>11</v>
      </c>
      <c r="G279" s="784">
        <v>3</v>
      </c>
      <c r="H279" s="809"/>
      <c r="I279" s="47">
        <f>IF($F279="","",$G279*H279)</f>
        <v>0</v>
      </c>
      <c r="J279" s="15"/>
    </row>
    <row r="280" spans="1:10">
      <c r="A280" s="126" t="str">
        <f t="shared" si="12"/>
        <v>A1</v>
      </c>
      <c r="B280" s="13">
        <v>8</v>
      </c>
      <c r="C280" s="202"/>
      <c r="D280" s="204"/>
      <c r="E280" s="875"/>
      <c r="F280" s="192"/>
      <c r="G280" s="784"/>
      <c r="H280" s="809"/>
      <c r="I280" s="47"/>
      <c r="J280" s="15"/>
    </row>
    <row r="281" spans="1:10" ht="12" customHeight="1">
      <c r="A281" s="126" t="str">
        <f t="shared" si="12"/>
        <v>A1</v>
      </c>
      <c r="B281" s="13">
        <v>8</v>
      </c>
      <c r="C281" s="131">
        <v>8</v>
      </c>
      <c r="D281" s="119" t="s">
        <v>387</v>
      </c>
      <c r="E281" s="869"/>
      <c r="F281" s="840"/>
      <c r="G281" s="798"/>
      <c r="H281" s="799"/>
      <c r="I281" s="153">
        <f>SUM(I253:I280)</f>
        <v>0</v>
      </c>
      <c r="J281" s="15"/>
    </row>
    <row r="282" spans="1:10" ht="12" customHeight="1">
      <c r="A282" s="126"/>
      <c r="C282" s="155"/>
      <c r="D282" s="156"/>
      <c r="E282" s="887"/>
      <c r="F282" s="845"/>
      <c r="G282" s="352"/>
      <c r="H282" s="797"/>
      <c r="I282" s="145"/>
      <c r="J282" s="15"/>
    </row>
    <row r="283" spans="1:10" ht="12" customHeight="1">
      <c r="A283" s="126"/>
      <c r="C283" s="155"/>
      <c r="D283" s="156"/>
      <c r="E283" s="887"/>
      <c r="F283" s="845"/>
      <c r="G283" s="352"/>
      <c r="H283" s="797"/>
      <c r="I283" s="145"/>
      <c r="J283" s="15"/>
    </row>
    <row r="284" spans="1:10" ht="12" customHeight="1">
      <c r="A284" s="126" t="str">
        <f t="shared" si="12"/>
        <v>A1</v>
      </c>
      <c r="B284" s="13">
        <v>9</v>
      </c>
      <c r="C284" s="125">
        <v>9</v>
      </c>
      <c r="D284" s="120" t="s">
        <v>86</v>
      </c>
      <c r="E284" s="865"/>
      <c r="F284" s="841"/>
      <c r="G284" s="801"/>
      <c r="H284" s="796"/>
      <c r="I284" s="154"/>
      <c r="J284" s="15"/>
    </row>
    <row r="285" spans="1:10" ht="12" customHeight="1">
      <c r="A285" s="126" t="str">
        <f t="shared" si="12"/>
        <v>A1</v>
      </c>
      <c r="B285" s="13">
        <v>9</v>
      </c>
      <c r="C285" s="65"/>
      <c r="D285" s="66"/>
      <c r="E285" s="886"/>
      <c r="G285" s="352"/>
      <c r="H285" s="797"/>
      <c r="I285" s="144"/>
      <c r="J285" s="15"/>
    </row>
    <row r="286" spans="1:10" ht="12" customHeight="1">
      <c r="A286" s="126" t="str">
        <f t="shared" si="12"/>
        <v>A1</v>
      </c>
      <c r="B286" s="13">
        <v>9</v>
      </c>
      <c r="C286" s="65"/>
      <c r="D286" s="66" t="s">
        <v>454</v>
      </c>
      <c r="E286" s="886"/>
      <c r="G286" s="352"/>
      <c r="H286" s="797"/>
      <c r="I286" s="144"/>
      <c r="J286" s="15"/>
    </row>
    <row r="287" spans="1:10" ht="67.5" customHeight="1">
      <c r="A287" s="126" t="str">
        <f t="shared" si="12"/>
        <v>A1</v>
      </c>
      <c r="B287" s="13">
        <v>9</v>
      </c>
      <c r="C287" s="65"/>
      <c r="D287" s="64" t="s">
        <v>1075</v>
      </c>
      <c r="E287" s="883"/>
      <c r="G287" s="352"/>
      <c r="H287" s="797"/>
      <c r="I287" s="144"/>
      <c r="J287" s="15"/>
    </row>
    <row r="288" spans="1:10" ht="54" customHeight="1">
      <c r="A288" s="126"/>
      <c r="C288" s="65"/>
      <c r="D288" s="64" t="s">
        <v>790</v>
      </c>
      <c r="E288" s="883"/>
      <c r="G288" s="352"/>
      <c r="H288" s="797"/>
      <c r="I288" s="144"/>
      <c r="J288" s="15"/>
    </row>
    <row r="289" spans="1:10" ht="16.5" customHeight="1">
      <c r="A289" s="126"/>
      <c r="C289" s="65"/>
      <c r="D289" s="64" t="s">
        <v>774</v>
      </c>
      <c r="E289" s="883"/>
      <c r="F289" s="170"/>
      <c r="G289" s="352"/>
      <c r="H289" s="797"/>
      <c r="I289" s="144"/>
      <c r="J289" s="15"/>
    </row>
    <row r="290" spans="1:10" ht="12" customHeight="1">
      <c r="A290" s="126"/>
      <c r="C290" s="65"/>
      <c r="D290" s="64" t="s">
        <v>775</v>
      </c>
      <c r="E290" s="883"/>
      <c r="F290" s="351"/>
      <c r="G290" s="352"/>
      <c r="H290" s="797"/>
      <c r="I290" s="144"/>
      <c r="J290" s="15"/>
    </row>
    <row r="291" spans="1:10" ht="21.75" customHeight="1">
      <c r="A291" s="126"/>
      <c r="C291" s="65"/>
      <c r="D291" s="64" t="s">
        <v>776</v>
      </c>
      <c r="E291" s="883"/>
      <c r="G291" s="352"/>
      <c r="H291" s="797"/>
      <c r="I291" s="144"/>
      <c r="J291" s="15"/>
    </row>
    <row r="292" spans="1:10" ht="33" customHeight="1">
      <c r="A292" s="126"/>
      <c r="C292" s="65"/>
      <c r="D292" s="64" t="s">
        <v>791</v>
      </c>
      <c r="E292" s="883"/>
      <c r="F292" s="170"/>
      <c r="G292" s="352"/>
      <c r="H292" s="797"/>
      <c r="I292" s="144"/>
      <c r="J292" s="15"/>
    </row>
    <row r="293" spans="1:10" ht="12" customHeight="1">
      <c r="A293" s="126"/>
      <c r="C293" s="65"/>
      <c r="D293" s="64" t="s">
        <v>781</v>
      </c>
      <c r="E293" s="883"/>
      <c r="G293" s="352"/>
      <c r="H293" s="797"/>
      <c r="I293" s="144"/>
      <c r="J293" s="15"/>
    </row>
    <row r="294" spans="1:10" ht="12" customHeight="1">
      <c r="A294" s="126"/>
      <c r="C294" s="65"/>
      <c r="D294" s="64" t="s">
        <v>782</v>
      </c>
      <c r="E294" s="883"/>
      <c r="G294" s="352"/>
      <c r="H294" s="797"/>
      <c r="I294" s="144"/>
      <c r="J294" s="15"/>
    </row>
    <row r="295" spans="1:10" ht="12" customHeight="1">
      <c r="A295" s="126"/>
      <c r="C295" s="65"/>
      <c r="D295" s="64" t="s">
        <v>783</v>
      </c>
      <c r="E295" s="883"/>
      <c r="G295" s="352"/>
      <c r="H295" s="797"/>
      <c r="I295" s="144"/>
      <c r="J295" s="15"/>
    </row>
    <row r="296" spans="1:10" ht="12" customHeight="1">
      <c r="A296" s="126" t="str">
        <f t="shared" si="12"/>
        <v>A1</v>
      </c>
      <c r="B296" s="13">
        <v>9</v>
      </c>
      <c r="C296" s="65"/>
      <c r="D296" s="337" t="s">
        <v>784</v>
      </c>
      <c r="E296" s="893"/>
      <c r="G296" s="352"/>
      <c r="H296" s="797"/>
      <c r="I296" s="144"/>
      <c r="J296" s="15"/>
    </row>
    <row r="297" spans="1:10" s="49" customFormat="1" ht="25.5">
      <c r="A297" s="405"/>
      <c r="B297" s="202"/>
      <c r="C297" s="406"/>
      <c r="D297" s="407" t="s">
        <v>1076</v>
      </c>
      <c r="E297" s="894"/>
      <c r="F297" s="837"/>
      <c r="G297" s="790"/>
      <c r="H297" s="789"/>
      <c r="I297" s="144"/>
    </row>
    <row r="298" spans="1:10" ht="12" customHeight="1">
      <c r="A298" s="126"/>
      <c r="C298" s="65"/>
      <c r="D298" s="337"/>
      <c r="E298" s="893"/>
      <c r="G298" s="352"/>
      <c r="H298" s="797"/>
      <c r="I298" s="144"/>
      <c r="J298" s="15"/>
    </row>
    <row r="299" spans="1:10" ht="28.9" customHeight="1">
      <c r="A299" s="126" t="str">
        <f t="shared" si="12"/>
        <v>A1</v>
      </c>
      <c r="B299" s="13">
        <v>9</v>
      </c>
      <c r="C299" s="63" t="s">
        <v>395</v>
      </c>
      <c r="D299" s="64" t="s">
        <v>1010</v>
      </c>
      <c r="E299" s="883"/>
      <c r="F299" s="848" t="s">
        <v>11</v>
      </c>
      <c r="G299" s="397">
        <v>2</v>
      </c>
      <c r="H299" s="811"/>
      <c r="I299" s="47">
        <f t="shared" ref="I299:I360" si="17">IF($F299="","",$G299*H299)</f>
        <v>0</v>
      </c>
      <c r="J299" s="15"/>
    </row>
    <row r="300" spans="1:10" ht="12" customHeight="1">
      <c r="A300" s="126" t="str">
        <f t="shared" si="12"/>
        <v>A1</v>
      </c>
      <c r="B300" s="13">
        <v>9</v>
      </c>
      <c r="E300" s="883"/>
      <c r="F300" s="848"/>
      <c r="G300" s="397"/>
      <c r="H300" s="811"/>
      <c r="I300" s="47" t="str">
        <f t="shared" si="17"/>
        <v/>
      </c>
      <c r="J300" s="15"/>
    </row>
    <row r="301" spans="1:10" ht="28.9" customHeight="1">
      <c r="A301" s="126" t="str">
        <f t="shared" si="12"/>
        <v>A1</v>
      </c>
      <c r="B301" s="13">
        <v>9</v>
      </c>
      <c r="C301" s="63" t="s">
        <v>388</v>
      </c>
      <c r="D301" s="64" t="s">
        <v>1011</v>
      </c>
      <c r="E301" s="883"/>
      <c r="F301" s="848" t="s">
        <v>11</v>
      </c>
      <c r="G301" s="397">
        <v>2</v>
      </c>
      <c r="H301" s="811"/>
      <c r="I301" s="47">
        <f t="shared" si="17"/>
        <v>0</v>
      </c>
      <c r="J301" s="15"/>
    </row>
    <row r="302" spans="1:10" ht="12" customHeight="1">
      <c r="A302" s="126" t="str">
        <f t="shared" si="12"/>
        <v>A1</v>
      </c>
      <c r="B302" s="13">
        <v>9</v>
      </c>
      <c r="E302" s="883"/>
      <c r="F302" s="848"/>
      <c r="G302" s="397"/>
      <c r="H302" s="811"/>
      <c r="I302" s="47" t="str">
        <f t="shared" si="17"/>
        <v/>
      </c>
      <c r="J302" s="15"/>
    </row>
    <row r="303" spans="1:10" ht="28.9" customHeight="1">
      <c r="A303" s="126" t="str">
        <f t="shared" si="12"/>
        <v>A1</v>
      </c>
      <c r="B303" s="13">
        <v>9</v>
      </c>
      <c r="C303" s="63" t="s">
        <v>389</v>
      </c>
      <c r="D303" s="64" t="s">
        <v>1012</v>
      </c>
      <c r="E303" s="883"/>
      <c r="F303" s="848" t="s">
        <v>11</v>
      </c>
      <c r="G303" s="397">
        <v>1</v>
      </c>
      <c r="H303" s="811"/>
      <c r="I303" s="47">
        <f t="shared" si="17"/>
        <v>0</v>
      </c>
      <c r="J303" s="15"/>
    </row>
    <row r="304" spans="1:10" ht="12" customHeight="1">
      <c r="A304" s="126" t="str">
        <f t="shared" si="12"/>
        <v>A1</v>
      </c>
      <c r="B304" s="13">
        <v>9</v>
      </c>
      <c r="E304" s="883"/>
      <c r="F304" s="848"/>
      <c r="G304" s="397"/>
      <c r="H304" s="811"/>
      <c r="I304" s="47" t="str">
        <f t="shared" si="17"/>
        <v/>
      </c>
      <c r="J304" s="15"/>
    </row>
    <row r="305" spans="1:10" ht="28.9" customHeight="1">
      <c r="A305" s="126" t="str">
        <f t="shared" si="12"/>
        <v>A1</v>
      </c>
      <c r="B305" s="13">
        <v>9</v>
      </c>
      <c r="C305" s="63" t="s">
        <v>682</v>
      </c>
      <c r="D305" s="64" t="s">
        <v>1013</v>
      </c>
      <c r="E305" s="883"/>
      <c r="F305" s="848" t="s">
        <v>11</v>
      </c>
      <c r="G305" s="397">
        <v>2</v>
      </c>
      <c r="H305" s="811"/>
      <c r="I305" s="47">
        <f t="shared" si="17"/>
        <v>0</v>
      </c>
      <c r="J305" s="15"/>
    </row>
    <row r="306" spans="1:10" ht="12" customHeight="1">
      <c r="A306" s="126" t="str">
        <f t="shared" si="12"/>
        <v>A1</v>
      </c>
      <c r="B306" s="13">
        <v>9</v>
      </c>
      <c r="E306" s="883"/>
      <c r="F306" s="848"/>
      <c r="G306" s="397"/>
      <c r="H306" s="811"/>
      <c r="I306" s="47" t="str">
        <f t="shared" si="17"/>
        <v/>
      </c>
      <c r="J306" s="15"/>
    </row>
    <row r="307" spans="1:10" ht="28.9" customHeight="1">
      <c r="A307" s="126" t="str">
        <f t="shared" si="12"/>
        <v>A1</v>
      </c>
      <c r="B307" s="13">
        <v>9</v>
      </c>
      <c r="C307" s="63" t="s">
        <v>683</v>
      </c>
      <c r="D307" s="64" t="s">
        <v>1014</v>
      </c>
      <c r="E307" s="883"/>
      <c r="F307" s="848" t="s">
        <v>11</v>
      </c>
      <c r="G307" s="397">
        <v>1</v>
      </c>
      <c r="H307" s="811"/>
      <c r="I307" s="47">
        <f t="shared" si="17"/>
        <v>0</v>
      </c>
      <c r="J307" s="15"/>
    </row>
    <row r="308" spans="1:10" ht="12" customHeight="1">
      <c r="A308" s="126" t="str">
        <f t="shared" si="12"/>
        <v>A1</v>
      </c>
      <c r="B308" s="13">
        <v>9</v>
      </c>
      <c r="E308" s="883"/>
      <c r="F308" s="848"/>
      <c r="G308" s="397"/>
      <c r="H308" s="811"/>
      <c r="I308" s="47" t="str">
        <f t="shared" si="17"/>
        <v/>
      </c>
      <c r="J308" s="15"/>
    </row>
    <row r="309" spans="1:10" ht="28.9" customHeight="1">
      <c r="A309" s="126" t="str">
        <f t="shared" si="12"/>
        <v>A1</v>
      </c>
      <c r="B309" s="13">
        <v>9</v>
      </c>
      <c r="C309" s="63" t="s">
        <v>684</v>
      </c>
      <c r="D309" s="64" t="s">
        <v>1015</v>
      </c>
      <c r="E309" s="883"/>
      <c r="F309" s="848" t="s">
        <v>11</v>
      </c>
      <c r="G309" s="397">
        <v>2</v>
      </c>
      <c r="H309" s="811"/>
      <c r="I309" s="47">
        <f t="shared" si="17"/>
        <v>0</v>
      </c>
      <c r="J309" s="15"/>
    </row>
    <row r="310" spans="1:10" ht="12" customHeight="1">
      <c r="A310" s="126" t="str">
        <f t="shared" si="12"/>
        <v>A1</v>
      </c>
      <c r="B310" s="13">
        <v>9</v>
      </c>
      <c r="E310" s="883"/>
      <c r="F310" s="848"/>
      <c r="G310" s="397"/>
      <c r="H310" s="811"/>
      <c r="I310" s="47" t="str">
        <f t="shared" si="17"/>
        <v/>
      </c>
      <c r="J310" s="15"/>
    </row>
    <row r="311" spans="1:10" ht="28.9" customHeight="1">
      <c r="A311" s="126" t="str">
        <f t="shared" si="12"/>
        <v>A1</v>
      </c>
      <c r="B311" s="13">
        <v>9</v>
      </c>
      <c r="C311" s="63" t="s">
        <v>429</v>
      </c>
      <c r="D311" s="64" t="s">
        <v>1017</v>
      </c>
      <c r="E311" s="883"/>
      <c r="F311" s="848" t="s">
        <v>11</v>
      </c>
      <c r="G311" s="397">
        <v>3</v>
      </c>
      <c r="H311" s="811"/>
      <c r="I311" s="47">
        <f t="shared" si="17"/>
        <v>0</v>
      </c>
      <c r="J311" s="15"/>
    </row>
    <row r="312" spans="1:10" ht="12" customHeight="1">
      <c r="A312" s="126" t="str">
        <f t="shared" si="12"/>
        <v>A1</v>
      </c>
      <c r="B312" s="13">
        <v>9</v>
      </c>
      <c r="E312" s="883"/>
      <c r="F312" s="848"/>
      <c r="G312" s="397"/>
      <c r="H312" s="811"/>
      <c r="I312" s="47" t="str">
        <f t="shared" si="17"/>
        <v/>
      </c>
      <c r="J312" s="15"/>
    </row>
    <row r="313" spans="1:10" ht="28.9" customHeight="1">
      <c r="A313" s="126" t="str">
        <f t="shared" si="12"/>
        <v>A1</v>
      </c>
      <c r="B313" s="13">
        <v>9</v>
      </c>
      <c r="C313" s="63" t="s">
        <v>685</v>
      </c>
      <c r="D313" s="64" t="s">
        <v>1016</v>
      </c>
      <c r="E313" s="883"/>
      <c r="F313" s="848" t="s">
        <v>11</v>
      </c>
      <c r="G313" s="397">
        <v>1</v>
      </c>
      <c r="H313" s="811"/>
      <c r="I313" s="47">
        <f t="shared" si="17"/>
        <v>0</v>
      </c>
      <c r="J313" s="15"/>
    </row>
    <row r="314" spans="1:10" ht="12" customHeight="1">
      <c r="A314" s="126" t="str">
        <f t="shared" si="12"/>
        <v>A1</v>
      </c>
      <c r="B314" s="13">
        <v>9</v>
      </c>
      <c r="E314" s="883"/>
      <c r="F314" s="848"/>
      <c r="G314" s="397"/>
      <c r="H314" s="811"/>
      <c r="I314" s="47" t="str">
        <f t="shared" si="17"/>
        <v/>
      </c>
      <c r="J314" s="15"/>
    </row>
    <row r="315" spans="1:10" ht="28.9" customHeight="1">
      <c r="A315" s="126" t="str">
        <f t="shared" si="12"/>
        <v>A1</v>
      </c>
      <c r="B315" s="13">
        <v>9</v>
      </c>
      <c r="C315" s="63" t="s">
        <v>686</v>
      </c>
      <c r="D315" s="64" t="s">
        <v>1018</v>
      </c>
      <c r="E315" s="883"/>
      <c r="F315" s="848" t="s">
        <v>11</v>
      </c>
      <c r="G315" s="397">
        <v>1</v>
      </c>
      <c r="H315" s="811"/>
      <c r="I315" s="47">
        <f t="shared" si="17"/>
        <v>0</v>
      </c>
      <c r="J315" s="15"/>
    </row>
    <row r="316" spans="1:10" ht="12" customHeight="1">
      <c r="A316" s="126" t="str">
        <f t="shared" si="12"/>
        <v>A1</v>
      </c>
      <c r="B316" s="13">
        <v>9</v>
      </c>
      <c r="E316" s="883"/>
      <c r="F316" s="848"/>
      <c r="G316" s="397"/>
      <c r="H316" s="811"/>
      <c r="I316" s="47" t="str">
        <f t="shared" si="17"/>
        <v/>
      </c>
      <c r="J316" s="15"/>
    </row>
    <row r="317" spans="1:10" ht="28.9" customHeight="1">
      <c r="A317" s="126" t="str">
        <f t="shared" si="12"/>
        <v>A1</v>
      </c>
      <c r="B317" s="13">
        <v>9</v>
      </c>
      <c r="C317" s="63" t="s">
        <v>687</v>
      </c>
      <c r="D317" s="64" t="s">
        <v>1019</v>
      </c>
      <c r="E317" s="883"/>
      <c r="F317" s="848" t="s">
        <v>11</v>
      </c>
      <c r="G317" s="397">
        <v>1</v>
      </c>
      <c r="H317" s="811"/>
      <c r="I317" s="47">
        <f t="shared" si="17"/>
        <v>0</v>
      </c>
      <c r="J317" s="15"/>
    </row>
    <row r="318" spans="1:10" ht="12" customHeight="1">
      <c r="A318" s="126" t="str">
        <f t="shared" si="12"/>
        <v>A1</v>
      </c>
      <c r="B318" s="13">
        <v>9</v>
      </c>
      <c r="E318" s="883"/>
      <c r="F318" s="848"/>
      <c r="G318" s="397"/>
      <c r="H318" s="811"/>
      <c r="I318" s="47" t="str">
        <f t="shared" si="17"/>
        <v/>
      </c>
      <c r="J318" s="15"/>
    </row>
    <row r="319" spans="1:10" ht="48.75" customHeight="1">
      <c r="A319" s="126" t="str">
        <f t="shared" si="12"/>
        <v>A1</v>
      </c>
      <c r="B319" s="13">
        <v>9</v>
      </c>
      <c r="C319" s="63" t="s">
        <v>688</v>
      </c>
      <c r="D319" s="64" t="s">
        <v>1020</v>
      </c>
      <c r="E319" s="883"/>
      <c r="F319" s="848" t="s">
        <v>11</v>
      </c>
      <c r="G319" s="397">
        <v>1</v>
      </c>
      <c r="H319" s="811"/>
      <c r="I319" s="47">
        <f t="shared" si="17"/>
        <v>0</v>
      </c>
      <c r="J319" s="15"/>
    </row>
    <row r="320" spans="1:10" ht="12" customHeight="1">
      <c r="A320" s="126" t="str">
        <f t="shared" si="12"/>
        <v>A1</v>
      </c>
      <c r="B320" s="13">
        <v>9</v>
      </c>
      <c r="E320" s="883"/>
      <c r="F320" s="848"/>
      <c r="G320" s="397"/>
      <c r="H320" s="811"/>
      <c r="I320" s="47" t="str">
        <f t="shared" si="17"/>
        <v/>
      </c>
      <c r="J320" s="15"/>
    </row>
    <row r="321" spans="1:10" ht="28.9" customHeight="1">
      <c r="A321" s="126" t="str">
        <f t="shared" si="12"/>
        <v>A1</v>
      </c>
      <c r="B321" s="13">
        <v>9</v>
      </c>
      <c r="C321" s="63" t="s">
        <v>689</v>
      </c>
      <c r="D321" s="64" t="s">
        <v>1021</v>
      </c>
      <c r="E321" s="883"/>
      <c r="F321" s="848" t="s">
        <v>11</v>
      </c>
      <c r="G321" s="397">
        <v>1</v>
      </c>
      <c r="H321" s="811"/>
      <c r="I321" s="47">
        <f t="shared" si="17"/>
        <v>0</v>
      </c>
      <c r="J321" s="15"/>
    </row>
    <row r="322" spans="1:10" ht="12" customHeight="1">
      <c r="A322" s="126" t="str">
        <f t="shared" si="12"/>
        <v>A1</v>
      </c>
      <c r="B322" s="13">
        <v>9</v>
      </c>
      <c r="E322" s="883"/>
      <c r="F322" s="848"/>
      <c r="G322" s="397"/>
      <c r="H322" s="811"/>
      <c r="I322" s="47" t="str">
        <f t="shared" si="17"/>
        <v/>
      </c>
      <c r="J322" s="15"/>
    </row>
    <row r="323" spans="1:10" ht="28.9" customHeight="1">
      <c r="A323" s="126" t="str">
        <f t="shared" si="12"/>
        <v>A1</v>
      </c>
      <c r="B323" s="13">
        <v>9</v>
      </c>
      <c r="C323" s="63" t="s">
        <v>690</v>
      </c>
      <c r="D323" s="64" t="s">
        <v>1022</v>
      </c>
      <c r="E323" s="883"/>
      <c r="F323" s="848" t="s">
        <v>11</v>
      </c>
      <c r="G323" s="397">
        <v>2</v>
      </c>
      <c r="H323" s="811"/>
      <c r="I323" s="47">
        <f t="shared" si="17"/>
        <v>0</v>
      </c>
      <c r="J323" s="15"/>
    </row>
    <row r="324" spans="1:10" ht="12" customHeight="1">
      <c r="A324" s="126" t="str">
        <f t="shared" si="12"/>
        <v>A1</v>
      </c>
      <c r="B324" s="13">
        <v>9</v>
      </c>
      <c r="E324" s="883"/>
      <c r="F324" s="848"/>
      <c r="G324" s="397"/>
      <c r="H324" s="811"/>
      <c r="I324" s="47" t="str">
        <f t="shared" si="17"/>
        <v/>
      </c>
      <c r="J324" s="15"/>
    </row>
    <row r="325" spans="1:10" ht="28.9" customHeight="1">
      <c r="A325" s="126" t="str">
        <f t="shared" si="12"/>
        <v>A1</v>
      </c>
      <c r="B325" s="13">
        <v>9</v>
      </c>
      <c r="C325" s="63" t="s">
        <v>691</v>
      </c>
      <c r="D325" s="64" t="s">
        <v>1023</v>
      </c>
      <c r="E325" s="883"/>
      <c r="F325" s="848" t="s">
        <v>11</v>
      </c>
      <c r="G325" s="397">
        <v>1</v>
      </c>
      <c r="H325" s="811"/>
      <c r="I325" s="47">
        <f t="shared" si="17"/>
        <v>0</v>
      </c>
      <c r="J325" s="15"/>
    </row>
    <row r="326" spans="1:10" ht="12" customHeight="1">
      <c r="A326" s="126" t="str">
        <f t="shared" si="12"/>
        <v>A1</v>
      </c>
      <c r="B326" s="13">
        <v>9</v>
      </c>
      <c r="E326" s="883"/>
      <c r="F326" s="848"/>
      <c r="G326" s="397"/>
      <c r="H326" s="811"/>
      <c r="I326" s="47" t="str">
        <f t="shared" si="17"/>
        <v/>
      </c>
      <c r="J326" s="15"/>
    </row>
    <row r="327" spans="1:10" ht="28.9" customHeight="1">
      <c r="A327" s="126" t="str">
        <f t="shared" si="12"/>
        <v>A1</v>
      </c>
      <c r="B327" s="13">
        <v>9</v>
      </c>
      <c r="C327" s="63" t="s">
        <v>692</v>
      </c>
      <c r="D327" s="64" t="s">
        <v>1024</v>
      </c>
      <c r="E327" s="883"/>
      <c r="F327" s="848" t="s">
        <v>11</v>
      </c>
      <c r="G327" s="397">
        <v>1</v>
      </c>
      <c r="H327" s="811"/>
      <c r="I327" s="47">
        <f t="shared" si="17"/>
        <v>0</v>
      </c>
      <c r="J327" s="15"/>
    </row>
    <row r="328" spans="1:10" ht="12" customHeight="1">
      <c r="A328" s="126" t="str">
        <f t="shared" si="12"/>
        <v>A1</v>
      </c>
      <c r="B328" s="13">
        <v>9</v>
      </c>
      <c r="E328" s="883"/>
      <c r="F328" s="848"/>
      <c r="G328" s="397"/>
      <c r="H328" s="811"/>
      <c r="I328" s="47" t="str">
        <f t="shared" si="17"/>
        <v/>
      </c>
      <c r="J328" s="15"/>
    </row>
    <row r="329" spans="1:10" ht="28.9" customHeight="1">
      <c r="A329" s="126" t="str">
        <f t="shared" si="12"/>
        <v>A1</v>
      </c>
      <c r="B329" s="13">
        <v>9</v>
      </c>
      <c r="C329" s="63" t="s">
        <v>693</v>
      </c>
      <c r="D329" s="64" t="s">
        <v>1025</v>
      </c>
      <c r="E329" s="883"/>
      <c r="F329" s="848" t="s">
        <v>11</v>
      </c>
      <c r="G329" s="397">
        <v>1</v>
      </c>
      <c r="H329" s="811"/>
      <c r="I329" s="47">
        <f t="shared" si="17"/>
        <v>0</v>
      </c>
      <c r="J329" s="15"/>
    </row>
    <row r="330" spans="1:10" ht="12" customHeight="1">
      <c r="A330" s="126" t="str">
        <f t="shared" si="12"/>
        <v>A1</v>
      </c>
      <c r="B330" s="13">
        <v>9</v>
      </c>
      <c r="E330" s="883"/>
      <c r="F330" s="848"/>
      <c r="G330" s="397"/>
      <c r="H330" s="811"/>
      <c r="I330" s="47" t="str">
        <f t="shared" si="17"/>
        <v/>
      </c>
      <c r="J330" s="15"/>
    </row>
    <row r="331" spans="1:10" ht="40.5" customHeight="1">
      <c r="A331" s="126" t="str">
        <f t="shared" si="12"/>
        <v>A1</v>
      </c>
      <c r="B331" s="13">
        <v>9</v>
      </c>
      <c r="C331" s="63" t="s">
        <v>694</v>
      </c>
      <c r="D331" s="64" t="s">
        <v>1026</v>
      </c>
      <c r="E331" s="883"/>
      <c r="F331" s="848" t="s">
        <v>11</v>
      </c>
      <c r="G331" s="397">
        <v>3</v>
      </c>
      <c r="H331" s="811"/>
      <c r="I331" s="47">
        <f t="shared" si="17"/>
        <v>0</v>
      </c>
      <c r="J331" s="15"/>
    </row>
    <row r="332" spans="1:10" ht="12" customHeight="1">
      <c r="A332" s="126" t="str">
        <f t="shared" si="12"/>
        <v>A1</v>
      </c>
      <c r="B332" s="13">
        <v>9</v>
      </c>
      <c r="E332" s="883"/>
      <c r="F332" s="848"/>
      <c r="G332" s="397"/>
      <c r="H332" s="811"/>
      <c r="I332" s="47" t="str">
        <f t="shared" si="17"/>
        <v/>
      </c>
      <c r="J332" s="15"/>
    </row>
    <row r="333" spans="1:10" ht="28.9" customHeight="1">
      <c r="A333" s="126" t="str">
        <f t="shared" si="12"/>
        <v>A1</v>
      </c>
      <c r="B333" s="13">
        <v>9</v>
      </c>
      <c r="C333" s="63" t="s">
        <v>695</v>
      </c>
      <c r="D333" s="64" t="s">
        <v>1027</v>
      </c>
      <c r="E333" s="883"/>
      <c r="F333" s="848" t="s">
        <v>11</v>
      </c>
      <c r="G333" s="397">
        <v>1</v>
      </c>
      <c r="H333" s="811"/>
      <c r="I333" s="47">
        <f t="shared" si="17"/>
        <v>0</v>
      </c>
      <c r="J333" s="15"/>
    </row>
    <row r="334" spans="1:10" ht="12" customHeight="1">
      <c r="A334" s="126" t="str">
        <f t="shared" si="12"/>
        <v>A1</v>
      </c>
      <c r="B334" s="13">
        <v>9</v>
      </c>
      <c r="D334" s="66"/>
      <c r="E334" s="886"/>
      <c r="G334" s="352"/>
      <c r="H334" s="797"/>
      <c r="I334" s="47" t="str">
        <f t="shared" si="17"/>
        <v/>
      </c>
      <c r="J334" s="15"/>
    </row>
    <row r="335" spans="1:10" ht="12" customHeight="1">
      <c r="A335" s="126" t="str">
        <f t="shared" si="12"/>
        <v>A1</v>
      </c>
      <c r="B335" s="13">
        <v>9</v>
      </c>
      <c r="D335" s="66" t="s">
        <v>455</v>
      </c>
      <c r="E335" s="886"/>
      <c r="G335" s="352"/>
      <c r="H335" s="797"/>
      <c r="I335" s="47" t="str">
        <f t="shared" si="17"/>
        <v/>
      </c>
      <c r="J335" s="15"/>
    </row>
    <row r="336" spans="1:10" ht="57.75" customHeight="1">
      <c r="A336" s="126"/>
      <c r="D336" s="348" t="s">
        <v>1077</v>
      </c>
      <c r="E336" s="895"/>
      <c r="G336" s="352"/>
      <c r="H336" s="797"/>
      <c r="I336" s="47"/>
      <c r="J336" s="15"/>
    </row>
    <row r="337" spans="1:10" ht="12" customHeight="1">
      <c r="A337" s="126"/>
      <c r="D337" s="64" t="s">
        <v>792</v>
      </c>
      <c r="E337" s="883"/>
      <c r="G337" s="352"/>
      <c r="H337" s="797"/>
      <c r="I337" s="47"/>
      <c r="J337" s="15"/>
    </row>
    <row r="338" spans="1:10" ht="35.25" customHeight="1">
      <c r="A338" s="126"/>
      <c r="D338" s="348" t="s">
        <v>793</v>
      </c>
      <c r="E338" s="895"/>
      <c r="G338" s="352"/>
      <c r="H338" s="797"/>
      <c r="I338" s="47"/>
      <c r="J338" s="15"/>
    </row>
    <row r="339" spans="1:10" ht="48" customHeight="1">
      <c r="A339" s="126"/>
      <c r="D339" s="348" t="s">
        <v>794</v>
      </c>
      <c r="E339" s="895"/>
      <c r="G339" s="352"/>
      <c r="H339" s="797"/>
      <c r="I339" s="47"/>
      <c r="J339" s="15"/>
    </row>
    <row r="340" spans="1:10" ht="29.25" customHeight="1">
      <c r="A340" s="126"/>
      <c r="D340" s="348" t="s">
        <v>795</v>
      </c>
      <c r="E340" s="895"/>
      <c r="G340" s="352"/>
      <c r="H340" s="797"/>
      <c r="I340" s="47"/>
      <c r="J340" s="15"/>
    </row>
    <row r="341" spans="1:10" ht="91.5" customHeight="1">
      <c r="A341" s="126"/>
      <c r="D341" s="348" t="s">
        <v>1078</v>
      </c>
      <c r="E341" s="895"/>
      <c r="G341" s="352"/>
      <c r="H341" s="797"/>
      <c r="I341" s="47"/>
      <c r="J341" s="15"/>
    </row>
    <row r="342" spans="1:10" ht="12" customHeight="1">
      <c r="A342" s="126" t="str">
        <f t="shared" si="12"/>
        <v>A1</v>
      </c>
      <c r="B342" s="13">
        <v>9</v>
      </c>
      <c r="D342" s="66"/>
      <c r="E342" s="886"/>
      <c r="G342" s="352"/>
      <c r="H342" s="797"/>
      <c r="I342" s="47" t="str">
        <f t="shared" si="17"/>
        <v/>
      </c>
      <c r="J342" s="15"/>
    </row>
    <row r="343" spans="1:10" ht="36" customHeight="1">
      <c r="A343" s="126" t="str">
        <f t="shared" si="12"/>
        <v>A1</v>
      </c>
      <c r="B343" s="13">
        <v>9</v>
      </c>
      <c r="C343" s="63" t="s">
        <v>696</v>
      </c>
      <c r="D343" s="64" t="s">
        <v>1029</v>
      </c>
      <c r="E343" s="883"/>
      <c r="F343" s="351"/>
      <c r="G343" s="819"/>
      <c r="H343" s="811"/>
      <c r="I343" s="922"/>
      <c r="J343" s="15"/>
    </row>
    <row r="344" spans="1:10" ht="12" customHeight="1">
      <c r="A344" s="126" t="str">
        <f t="shared" si="12"/>
        <v>A1</v>
      </c>
      <c r="B344" s="13">
        <v>9</v>
      </c>
      <c r="D344" s="64" t="s">
        <v>1001</v>
      </c>
      <c r="E344" s="883"/>
      <c r="F344" s="829" t="s">
        <v>11</v>
      </c>
      <c r="G344" s="352">
        <v>2</v>
      </c>
      <c r="H344" s="797"/>
      <c r="I344" s="47">
        <f>IF($F344="","",$G344*H344)</f>
        <v>0</v>
      </c>
      <c r="J344" s="15"/>
    </row>
    <row r="345" spans="1:10" ht="12" customHeight="1">
      <c r="A345" s="126"/>
      <c r="E345" s="883"/>
      <c r="G345" s="352"/>
      <c r="H345" s="797"/>
      <c r="I345" s="47"/>
      <c r="J345" s="15"/>
    </row>
    <row r="346" spans="1:10" ht="57.75" customHeight="1">
      <c r="A346" s="126" t="str">
        <f t="shared" si="12"/>
        <v>A1</v>
      </c>
      <c r="B346" s="13">
        <v>9</v>
      </c>
      <c r="C346" s="63" t="s">
        <v>697</v>
      </c>
      <c r="D346" s="64" t="s">
        <v>1030</v>
      </c>
      <c r="E346" s="883"/>
      <c r="G346" s="352"/>
      <c r="H346" s="797"/>
      <c r="I346" s="47" t="str">
        <f t="shared" si="17"/>
        <v/>
      </c>
      <c r="J346" s="15"/>
    </row>
    <row r="347" spans="1:10" ht="12" customHeight="1">
      <c r="A347" s="126" t="str">
        <f t="shared" si="12"/>
        <v>A1</v>
      </c>
      <c r="B347" s="13">
        <v>9</v>
      </c>
      <c r="D347" s="64" t="s">
        <v>1001</v>
      </c>
      <c r="E347" s="883"/>
      <c r="F347" s="829" t="s">
        <v>11</v>
      </c>
      <c r="G347" s="352">
        <v>1</v>
      </c>
      <c r="H347" s="797"/>
      <c r="I347" s="47">
        <f t="shared" si="17"/>
        <v>0</v>
      </c>
      <c r="J347" s="15"/>
    </row>
    <row r="348" spans="1:10" ht="12" customHeight="1">
      <c r="A348" s="126" t="str">
        <f t="shared" si="12"/>
        <v>A1</v>
      </c>
      <c r="B348" s="13">
        <v>9</v>
      </c>
      <c r="E348" s="883"/>
      <c r="G348" s="352"/>
      <c r="H348" s="797"/>
      <c r="I348" s="47" t="str">
        <f t="shared" si="17"/>
        <v/>
      </c>
      <c r="J348" s="15"/>
    </row>
    <row r="349" spans="1:10" ht="33" customHeight="1">
      <c r="A349" s="126" t="str">
        <f t="shared" si="12"/>
        <v>A1</v>
      </c>
      <c r="B349" s="13">
        <v>9</v>
      </c>
      <c r="C349" s="63" t="s">
        <v>698</v>
      </c>
      <c r="D349" s="64" t="s">
        <v>1028</v>
      </c>
      <c r="E349" s="883"/>
      <c r="G349" s="352"/>
      <c r="H349" s="797"/>
      <c r="I349" s="47" t="str">
        <f t="shared" si="17"/>
        <v/>
      </c>
      <c r="J349" s="15"/>
    </row>
    <row r="350" spans="1:10" ht="12" customHeight="1">
      <c r="A350" s="126" t="str">
        <f t="shared" si="12"/>
        <v>A1</v>
      </c>
      <c r="B350" s="13">
        <v>9</v>
      </c>
      <c r="D350" s="64" t="s">
        <v>1002</v>
      </c>
      <c r="E350" s="883"/>
      <c r="F350" s="829" t="s">
        <v>11</v>
      </c>
      <c r="G350" s="352">
        <v>1</v>
      </c>
      <c r="H350" s="797"/>
      <c r="I350" s="47">
        <f t="shared" si="17"/>
        <v>0</v>
      </c>
      <c r="J350" s="15"/>
    </row>
    <row r="351" spans="1:10" ht="12" customHeight="1">
      <c r="A351" s="126" t="str">
        <f t="shared" si="12"/>
        <v>A1</v>
      </c>
      <c r="B351" s="13">
        <v>9</v>
      </c>
      <c r="D351" s="66"/>
      <c r="E351" s="886"/>
      <c r="G351" s="352"/>
      <c r="H351" s="797"/>
      <c r="I351" s="47" t="str">
        <f t="shared" si="17"/>
        <v/>
      </c>
      <c r="J351" s="15"/>
    </row>
    <row r="352" spans="1:10" ht="33" customHeight="1">
      <c r="A352" s="126" t="str">
        <f t="shared" si="12"/>
        <v>A1</v>
      </c>
      <c r="B352" s="13">
        <v>9</v>
      </c>
      <c r="C352" s="63" t="s">
        <v>699</v>
      </c>
      <c r="D352" s="64" t="s">
        <v>1031</v>
      </c>
      <c r="E352" s="883"/>
      <c r="G352" s="352"/>
      <c r="H352" s="797"/>
      <c r="I352" s="47" t="str">
        <f t="shared" ref="I352:I353" si="18">IF($F352="","",$G352*H352)</f>
        <v/>
      </c>
      <c r="J352" s="15"/>
    </row>
    <row r="353" spans="1:10" ht="12" customHeight="1">
      <c r="A353" s="126" t="str">
        <f t="shared" si="12"/>
        <v>A1</v>
      </c>
      <c r="B353" s="13">
        <v>9</v>
      </c>
      <c r="D353" s="64" t="s">
        <v>1002</v>
      </c>
      <c r="E353" s="883"/>
      <c r="F353" s="829" t="s">
        <v>11</v>
      </c>
      <c r="G353" s="352">
        <v>1</v>
      </c>
      <c r="H353" s="797"/>
      <c r="I353" s="47">
        <f t="shared" si="18"/>
        <v>0</v>
      </c>
      <c r="J353" s="15"/>
    </row>
    <row r="354" spans="1:10" ht="12" customHeight="1">
      <c r="A354" s="126"/>
      <c r="E354" s="883"/>
      <c r="G354" s="352"/>
      <c r="H354" s="797"/>
      <c r="I354" s="47"/>
      <c r="J354" s="15"/>
    </row>
    <row r="355" spans="1:10" ht="36" customHeight="1">
      <c r="A355" s="126" t="str">
        <f t="shared" si="12"/>
        <v>A1</v>
      </c>
      <c r="B355" s="13">
        <v>9</v>
      </c>
      <c r="C355" s="63" t="s">
        <v>700</v>
      </c>
      <c r="D355" s="64" t="s">
        <v>1032</v>
      </c>
      <c r="E355" s="883"/>
      <c r="F355" s="351"/>
      <c r="G355" s="819"/>
      <c r="H355" s="811"/>
      <c r="I355" s="922"/>
      <c r="J355" s="15"/>
    </row>
    <row r="356" spans="1:10" ht="12" customHeight="1">
      <c r="A356" s="126" t="str">
        <f t="shared" si="12"/>
        <v>A1</v>
      </c>
      <c r="B356" s="13">
        <v>9</v>
      </c>
      <c r="D356" s="64" t="s">
        <v>1001</v>
      </c>
      <c r="E356" s="883"/>
      <c r="F356" s="829" t="s">
        <v>11</v>
      </c>
      <c r="G356" s="352">
        <v>1</v>
      </c>
      <c r="H356" s="797"/>
      <c r="I356" s="47">
        <f>IF($F356="","",$G356*H356)</f>
        <v>0</v>
      </c>
      <c r="J356" s="15"/>
    </row>
    <row r="357" spans="1:10" ht="12" customHeight="1">
      <c r="A357" s="126"/>
      <c r="E357" s="883"/>
      <c r="G357" s="352"/>
      <c r="H357" s="797"/>
      <c r="I357" s="47"/>
      <c r="J357" s="15"/>
    </row>
    <row r="358" spans="1:10" ht="12" customHeight="1">
      <c r="A358" s="126" t="str">
        <f t="shared" si="12"/>
        <v>A1</v>
      </c>
      <c r="B358" s="13">
        <v>9</v>
      </c>
      <c r="D358" s="156" t="s">
        <v>485</v>
      </c>
      <c r="E358" s="887"/>
      <c r="F358" s="846"/>
      <c r="G358" s="819"/>
      <c r="H358" s="797"/>
      <c r="I358" s="47" t="str">
        <f t="shared" si="17"/>
        <v/>
      </c>
      <c r="J358" s="15"/>
    </row>
    <row r="359" spans="1:10" ht="40.5" customHeight="1">
      <c r="A359" s="126" t="str">
        <f t="shared" si="12"/>
        <v>A1</v>
      </c>
      <c r="B359" s="13">
        <v>9</v>
      </c>
      <c r="C359" s="368" t="s">
        <v>701</v>
      </c>
      <c r="D359" s="239" t="s">
        <v>1079</v>
      </c>
      <c r="E359" s="853"/>
      <c r="F359" s="783"/>
      <c r="G359" s="790"/>
      <c r="H359" s="789"/>
      <c r="I359" s="47" t="str">
        <f t="shared" si="17"/>
        <v/>
      </c>
      <c r="J359" s="15"/>
    </row>
    <row r="360" spans="1:10" ht="12" customHeight="1">
      <c r="A360" s="126" t="str">
        <f t="shared" si="12"/>
        <v>A1</v>
      </c>
      <c r="B360" s="13">
        <v>9</v>
      </c>
      <c r="C360" s="368"/>
      <c r="D360" s="239" t="s">
        <v>486</v>
      </c>
      <c r="E360" s="853"/>
      <c r="F360" s="783" t="s">
        <v>12</v>
      </c>
      <c r="G360" s="790">
        <f>4.8*1.4</f>
        <v>6.72</v>
      </c>
      <c r="H360" s="789"/>
      <c r="I360" s="47">
        <f t="shared" si="17"/>
        <v>0</v>
      </c>
      <c r="J360" s="15"/>
    </row>
    <row r="361" spans="1:10" ht="12" customHeight="1">
      <c r="A361" s="126" t="str">
        <f t="shared" si="12"/>
        <v>A1</v>
      </c>
      <c r="B361" s="13">
        <v>9</v>
      </c>
      <c r="D361" s="239"/>
      <c r="E361" s="853"/>
      <c r="F361" s="351"/>
      <c r="G361" s="352"/>
      <c r="H361" s="797"/>
      <c r="I361" s="144"/>
      <c r="J361" s="15"/>
    </row>
    <row r="362" spans="1:10" ht="12" customHeight="1">
      <c r="A362" s="126" t="str">
        <f t="shared" si="12"/>
        <v>A1</v>
      </c>
      <c r="B362" s="13">
        <v>9</v>
      </c>
      <c r="D362" s="66" t="s">
        <v>456</v>
      </c>
      <c r="E362" s="886"/>
      <c r="G362" s="352"/>
      <c r="H362" s="797"/>
      <c r="I362" s="144"/>
      <c r="J362" s="15"/>
    </row>
    <row r="363" spans="1:10" ht="249" customHeight="1">
      <c r="A363" s="126" t="str">
        <f t="shared" si="12"/>
        <v>A1</v>
      </c>
      <c r="B363" s="13">
        <v>9</v>
      </c>
      <c r="C363" s="202" t="s">
        <v>702</v>
      </c>
      <c r="D363" s="235" t="s">
        <v>1033</v>
      </c>
      <c r="E363" s="896"/>
      <c r="F363" s="211"/>
      <c r="G363" s="784"/>
      <c r="H363" s="809"/>
      <c r="I363" s="176"/>
      <c r="J363" s="15"/>
    </row>
    <row r="364" spans="1:10" ht="25.5">
      <c r="A364" s="126" t="str">
        <f t="shared" si="12"/>
        <v>A1</v>
      </c>
      <c r="B364" s="13">
        <v>9</v>
      </c>
      <c r="C364" s="202"/>
      <c r="D364" s="58" t="s">
        <v>457</v>
      </c>
      <c r="E364" s="888"/>
      <c r="F364" s="211" t="s">
        <v>21</v>
      </c>
      <c r="G364" s="784">
        <v>1</v>
      </c>
      <c r="H364" s="809"/>
      <c r="I364" s="47">
        <f t="shared" ref="I364" si="19">IF($F364="","",$G364*H364)</f>
        <v>0</v>
      </c>
      <c r="J364" s="15"/>
    </row>
    <row r="365" spans="1:10">
      <c r="A365" s="126"/>
      <c r="C365" s="202"/>
      <c r="D365" s="58"/>
      <c r="E365" s="888"/>
      <c r="F365" s="211"/>
      <c r="G365" s="784"/>
      <c r="H365" s="809"/>
      <c r="I365" s="176"/>
      <c r="J365" s="15"/>
    </row>
    <row r="366" spans="1:10" ht="127.5">
      <c r="A366" s="126"/>
      <c r="C366" s="202" t="s">
        <v>702</v>
      </c>
      <c r="D366" s="235" t="s">
        <v>703</v>
      </c>
      <c r="E366" s="896"/>
      <c r="F366" s="211"/>
      <c r="G366" s="784"/>
      <c r="H366" s="809"/>
      <c r="I366" s="176"/>
      <c r="J366" s="15"/>
    </row>
    <row r="367" spans="1:10" ht="25.5">
      <c r="A367" s="126"/>
      <c r="C367" s="202"/>
      <c r="D367" s="58" t="s">
        <v>457</v>
      </c>
      <c r="E367" s="888"/>
      <c r="F367" s="211" t="s">
        <v>21</v>
      </c>
      <c r="G367" s="784">
        <v>1</v>
      </c>
      <c r="H367" s="809"/>
      <c r="I367" s="47">
        <f t="shared" ref="I367" si="20">IF($F367="","",$G367*H367)</f>
        <v>0</v>
      </c>
      <c r="J367" s="15"/>
    </row>
    <row r="368" spans="1:10">
      <c r="A368" s="126" t="str">
        <f t="shared" si="12"/>
        <v>A1</v>
      </c>
      <c r="B368" s="13">
        <v>9</v>
      </c>
      <c r="C368" s="202"/>
      <c r="D368" s="207"/>
      <c r="E368" s="897"/>
      <c r="F368" s="211"/>
      <c r="G368" s="784"/>
      <c r="H368" s="809"/>
      <c r="I368" s="176"/>
      <c r="J368" s="15"/>
    </row>
    <row r="369" spans="1:10" ht="260.25" customHeight="1">
      <c r="A369" s="126"/>
      <c r="C369" s="202" t="s">
        <v>704</v>
      </c>
      <c r="D369" s="235" t="s">
        <v>1034</v>
      </c>
      <c r="E369" s="896"/>
      <c r="F369" s="211"/>
      <c r="G369" s="784"/>
      <c r="H369" s="809"/>
      <c r="I369" s="176"/>
    </row>
    <row r="370" spans="1:10" ht="25.5">
      <c r="A370" s="126"/>
      <c r="C370" s="202"/>
      <c r="D370" s="58" t="s">
        <v>458</v>
      </c>
      <c r="E370" s="888"/>
      <c r="F370" s="211" t="s">
        <v>21</v>
      </c>
      <c r="G370" s="784">
        <v>1</v>
      </c>
      <c r="H370" s="809"/>
      <c r="I370" s="47">
        <f t="shared" ref="I370" si="21">IF($F370="","",$G370*H370)</f>
        <v>0</v>
      </c>
    </row>
    <row r="371" spans="1:10">
      <c r="A371" s="126"/>
      <c r="C371" s="202"/>
      <c r="D371" s="207"/>
      <c r="E371" s="897"/>
      <c r="F371" s="211"/>
      <c r="G371" s="784"/>
      <c r="H371" s="809"/>
      <c r="I371" s="176"/>
    </row>
    <row r="372" spans="1:10" ht="63.75">
      <c r="A372" s="126" t="str">
        <f t="shared" si="12"/>
        <v>A1</v>
      </c>
      <c r="B372" s="13">
        <v>9</v>
      </c>
      <c r="C372" s="202" t="s">
        <v>1003</v>
      </c>
      <c r="D372" s="235" t="s">
        <v>1035</v>
      </c>
      <c r="E372" s="896"/>
      <c r="F372" s="211"/>
      <c r="G372" s="784"/>
      <c r="H372" s="809"/>
      <c r="I372" s="176"/>
    </row>
    <row r="373" spans="1:10">
      <c r="A373" s="126" t="str">
        <f t="shared" si="12"/>
        <v>A1</v>
      </c>
      <c r="B373" s="13">
        <v>9</v>
      </c>
      <c r="C373" s="202"/>
      <c r="D373" s="58" t="s">
        <v>386</v>
      </c>
      <c r="E373" s="888"/>
      <c r="F373" s="211" t="s">
        <v>11</v>
      </c>
      <c r="G373" s="784">
        <v>6</v>
      </c>
      <c r="H373" s="809"/>
      <c r="I373" s="176">
        <f t="shared" ref="I373" si="22">G373*H373</f>
        <v>0</v>
      </c>
    </row>
    <row r="374" spans="1:10">
      <c r="A374" s="126" t="str">
        <f t="shared" si="12"/>
        <v>A1</v>
      </c>
      <c r="B374" s="13">
        <v>9</v>
      </c>
      <c r="C374" s="202"/>
      <c r="D374" s="58"/>
      <c r="E374" s="888"/>
      <c r="F374" s="211"/>
      <c r="G374" s="784"/>
      <c r="H374" s="809"/>
      <c r="I374" s="176"/>
    </row>
    <row r="375" spans="1:10" s="49" customFormat="1" ht="63.75">
      <c r="A375" s="126" t="str">
        <f t="shared" si="12"/>
        <v>A1</v>
      </c>
      <c r="B375" s="13">
        <v>9</v>
      </c>
      <c r="C375" s="202" t="s">
        <v>705</v>
      </c>
      <c r="D375" s="235" t="s">
        <v>777</v>
      </c>
      <c r="E375" s="896"/>
      <c r="F375" s="338"/>
      <c r="G375" s="339"/>
      <c r="H375" s="224"/>
      <c r="I375" s="47"/>
      <c r="J375" s="55"/>
    </row>
    <row r="376" spans="1:10" s="49" customFormat="1">
      <c r="A376" s="126"/>
      <c r="B376" s="13"/>
      <c r="C376" s="202"/>
      <c r="D376" s="162" t="s">
        <v>386</v>
      </c>
      <c r="E376" s="882"/>
      <c r="F376" s="338"/>
      <c r="G376" s="339"/>
      <c r="H376" s="224"/>
      <c r="I376" s="47"/>
      <c r="J376" s="55"/>
    </row>
    <row r="377" spans="1:10" s="49" customFormat="1">
      <c r="A377" s="126" t="str">
        <f t="shared" si="12"/>
        <v>A1</v>
      </c>
      <c r="B377" s="13">
        <v>9</v>
      </c>
      <c r="C377" s="221"/>
      <c r="D377" s="340" t="s">
        <v>459</v>
      </c>
      <c r="E377" s="898"/>
      <c r="F377" s="338" t="s">
        <v>11</v>
      </c>
      <c r="G377" s="784">
        <v>1</v>
      </c>
      <c r="H377" s="224"/>
      <c r="I377" s="47">
        <f t="shared" ref="I377:I381" si="23">IF($F377="","",$G377*H377)</f>
        <v>0</v>
      </c>
      <c r="J377" s="55"/>
    </row>
    <row r="378" spans="1:10" s="49" customFormat="1">
      <c r="A378" s="126" t="str">
        <f t="shared" si="12"/>
        <v>A1</v>
      </c>
      <c r="B378" s="13">
        <v>9</v>
      </c>
      <c r="C378" s="132"/>
      <c r="D378" s="340" t="s">
        <v>460</v>
      </c>
      <c r="E378" s="898"/>
      <c r="F378" s="338" t="s">
        <v>11</v>
      </c>
      <c r="G378" s="784">
        <v>1</v>
      </c>
      <c r="H378" s="224"/>
      <c r="I378" s="47">
        <f t="shared" si="23"/>
        <v>0</v>
      </c>
      <c r="J378" s="226"/>
    </row>
    <row r="379" spans="1:10" s="49" customFormat="1">
      <c r="A379" s="60"/>
      <c r="B379" s="60"/>
      <c r="C379" s="221"/>
      <c r="D379" s="227" t="s">
        <v>1789</v>
      </c>
      <c r="E379" s="899"/>
      <c r="F379" s="338" t="s">
        <v>11</v>
      </c>
      <c r="G379" s="784">
        <v>1</v>
      </c>
      <c r="H379" s="224"/>
      <c r="I379" s="47">
        <f t="shared" si="23"/>
        <v>0</v>
      </c>
      <c r="J379" s="55"/>
    </row>
    <row r="380" spans="1:10" s="49" customFormat="1">
      <c r="A380" s="60"/>
      <c r="B380" s="60"/>
      <c r="C380" s="221"/>
      <c r="D380" s="227" t="s">
        <v>1790</v>
      </c>
      <c r="E380" s="899"/>
      <c r="F380" s="338" t="s">
        <v>11</v>
      </c>
      <c r="G380" s="784">
        <v>1</v>
      </c>
      <c r="H380" s="224"/>
      <c r="I380" s="47">
        <f t="shared" si="23"/>
        <v>0</v>
      </c>
      <c r="J380" s="55"/>
    </row>
    <row r="381" spans="1:10" s="49" customFormat="1">
      <c r="A381" s="60"/>
      <c r="B381" s="60"/>
      <c r="C381" s="221"/>
      <c r="D381" s="227" t="s">
        <v>1791</v>
      </c>
      <c r="E381" s="899"/>
      <c r="F381" s="338" t="s">
        <v>11</v>
      </c>
      <c r="G381" s="784">
        <v>1</v>
      </c>
      <c r="H381" s="224"/>
      <c r="I381" s="47">
        <f t="shared" si="23"/>
        <v>0</v>
      </c>
      <c r="J381" s="55"/>
    </row>
    <row r="382" spans="1:10" s="49" customFormat="1">
      <c r="A382" s="60"/>
      <c r="B382" s="60"/>
      <c r="C382" s="221"/>
      <c r="D382" s="227"/>
      <c r="E382" s="899"/>
      <c r="F382" s="338"/>
      <c r="G382" s="784"/>
      <c r="H382" s="224"/>
      <c r="I382" s="47"/>
      <c r="J382" s="55"/>
    </row>
    <row r="383" spans="1:10" s="49" customFormat="1" ht="25.5">
      <c r="A383" s="60"/>
      <c r="B383" s="60"/>
      <c r="C383" s="221" t="s">
        <v>1777</v>
      </c>
      <c r="D383" s="227" t="s">
        <v>1084</v>
      </c>
      <c r="E383" s="899"/>
      <c r="F383" s="222"/>
      <c r="G383" s="223"/>
      <c r="H383" s="224"/>
      <c r="I383" s="47"/>
      <c r="J383" s="55"/>
    </row>
    <row r="384" spans="1:10" s="49" customFormat="1">
      <c r="A384" s="60"/>
      <c r="B384" s="60"/>
      <c r="C384" s="221"/>
      <c r="D384" s="227" t="s">
        <v>1085</v>
      </c>
      <c r="E384" s="899"/>
      <c r="F384" s="222"/>
      <c r="G384" s="223"/>
      <c r="H384" s="224"/>
      <c r="I384" s="47"/>
      <c r="J384" s="55"/>
    </row>
    <row r="385" spans="1:10" s="49" customFormat="1">
      <c r="A385" s="60"/>
      <c r="B385" s="60"/>
      <c r="C385" s="221"/>
      <c r="D385" s="227" t="s">
        <v>1091</v>
      </c>
      <c r="E385" s="899"/>
      <c r="F385" s="222"/>
      <c r="G385" s="223"/>
      <c r="H385" s="224"/>
      <c r="I385" s="47"/>
      <c r="J385" s="55"/>
    </row>
    <row r="386" spans="1:10" s="49" customFormat="1">
      <c r="A386" s="60"/>
      <c r="B386" s="60"/>
      <c r="C386" s="221"/>
      <c r="D386" s="227" t="s">
        <v>1086</v>
      </c>
      <c r="E386" s="899"/>
      <c r="F386" s="222"/>
      <c r="G386" s="223"/>
      <c r="H386" s="224"/>
      <c r="I386" s="47"/>
      <c r="J386" s="55"/>
    </row>
    <row r="387" spans="1:10" s="49" customFormat="1">
      <c r="A387" s="60"/>
      <c r="B387" s="60"/>
      <c r="C387" s="221"/>
      <c r="D387" s="227" t="s">
        <v>1087</v>
      </c>
      <c r="E387" s="899"/>
      <c r="F387" s="783"/>
      <c r="G387" s="710"/>
      <c r="H387" s="810"/>
      <c r="I387" s="205"/>
      <c r="J387" s="55"/>
    </row>
    <row r="388" spans="1:10" s="49" customFormat="1">
      <c r="A388" s="60"/>
      <c r="B388" s="60"/>
      <c r="C388" s="221"/>
      <c r="D388" s="227" t="s">
        <v>1088</v>
      </c>
      <c r="E388" s="899"/>
      <c r="F388" s="222"/>
      <c r="G388" s="223"/>
      <c r="H388" s="224"/>
      <c r="I388" s="47"/>
      <c r="J388" s="55"/>
    </row>
    <row r="389" spans="1:10" s="49" customFormat="1">
      <c r="A389" s="60"/>
      <c r="B389" s="60"/>
      <c r="C389" s="221"/>
      <c r="D389" s="227" t="s">
        <v>1089</v>
      </c>
      <c r="E389" s="899"/>
      <c r="F389" s="222"/>
      <c r="G389" s="223"/>
      <c r="H389" s="224"/>
      <c r="I389" s="47"/>
      <c r="J389" s="55"/>
    </row>
    <row r="390" spans="1:10" s="49" customFormat="1">
      <c r="A390" s="60"/>
      <c r="B390" s="60"/>
      <c r="C390" s="221"/>
      <c r="D390" s="227" t="s">
        <v>1090</v>
      </c>
      <c r="E390" s="899"/>
      <c r="F390" s="338" t="s">
        <v>11</v>
      </c>
      <c r="G390" s="784">
        <v>2</v>
      </c>
      <c r="H390" s="224"/>
      <c r="I390" s="47">
        <f>IF($F390="","",$G390*H390)</f>
        <v>0</v>
      </c>
      <c r="J390" s="55"/>
    </row>
    <row r="391" spans="1:10">
      <c r="A391" s="126"/>
      <c r="C391" s="202"/>
      <c r="D391" s="334"/>
      <c r="E391" s="900"/>
      <c r="F391" s="192"/>
      <c r="G391" s="784"/>
      <c r="H391" s="809"/>
      <c r="I391" s="47"/>
      <c r="J391" s="15"/>
    </row>
    <row r="392" spans="1:10" ht="12" customHeight="1">
      <c r="A392" s="126" t="str">
        <f t="shared" si="12"/>
        <v>A1</v>
      </c>
      <c r="B392" s="13">
        <v>9</v>
      </c>
      <c r="C392" s="131">
        <f>C284</f>
        <v>9</v>
      </c>
      <c r="D392" s="119" t="str">
        <f>D284</f>
        <v>STOLARSKI RADOVI</v>
      </c>
      <c r="E392" s="869"/>
      <c r="F392" s="840"/>
      <c r="G392" s="798"/>
      <c r="H392" s="799"/>
      <c r="I392" s="153">
        <f>SUM(I288:I390)</f>
        <v>0</v>
      </c>
    </row>
    <row r="393" spans="1:10" ht="12" customHeight="1">
      <c r="A393" s="126" t="str">
        <f t="shared" si="12"/>
        <v>A1</v>
      </c>
      <c r="C393" s="65"/>
      <c r="D393" s="66"/>
      <c r="E393" s="886"/>
      <c r="G393" s="352"/>
      <c r="H393" s="797"/>
      <c r="I393" s="144"/>
    </row>
    <row r="394" spans="1:10" ht="12" customHeight="1">
      <c r="A394" s="126" t="str">
        <f t="shared" si="12"/>
        <v>A1</v>
      </c>
      <c r="C394" s="132"/>
      <c r="D394" s="44"/>
      <c r="E394" s="871"/>
      <c r="G394" s="352"/>
      <c r="H394" s="797"/>
      <c r="I394" s="144"/>
    </row>
    <row r="395" spans="1:10" ht="12" customHeight="1">
      <c r="A395" s="126" t="str">
        <f t="shared" si="12"/>
        <v>A1</v>
      </c>
      <c r="B395" s="13">
        <v>10</v>
      </c>
      <c r="C395" s="125">
        <v>10</v>
      </c>
      <c r="D395" s="120" t="s">
        <v>50</v>
      </c>
      <c r="E395" s="865"/>
      <c r="F395" s="841"/>
      <c r="G395" s="801"/>
      <c r="H395" s="796"/>
      <c r="I395" s="154"/>
    </row>
    <row r="396" spans="1:10" ht="12" customHeight="1">
      <c r="A396" s="126" t="str">
        <f t="shared" si="12"/>
        <v>A1</v>
      </c>
      <c r="B396" s="13">
        <v>10</v>
      </c>
      <c r="C396" s="65"/>
      <c r="D396" s="66"/>
      <c r="E396" s="886"/>
      <c r="G396" s="352"/>
      <c r="H396" s="797"/>
      <c r="I396" s="144"/>
    </row>
    <row r="397" spans="1:10" ht="38.25">
      <c r="A397" s="126" t="str">
        <f t="shared" si="12"/>
        <v>A1</v>
      </c>
      <c r="B397" s="13">
        <v>10</v>
      </c>
      <c r="C397" s="202" t="s">
        <v>85</v>
      </c>
      <c r="D397" s="341" t="s">
        <v>1080</v>
      </c>
      <c r="E397" s="855"/>
      <c r="F397" s="192"/>
      <c r="G397" s="784"/>
      <c r="H397" s="809"/>
      <c r="I397" s="176"/>
    </row>
    <row r="398" spans="1:10" ht="12" customHeight="1">
      <c r="A398" s="126"/>
      <c r="C398" s="202"/>
      <c r="D398" s="341" t="s">
        <v>394</v>
      </c>
      <c r="E398" s="855"/>
      <c r="F398" s="192" t="s">
        <v>56</v>
      </c>
      <c r="G398" s="784">
        <f>3.8+3.8+1+8</f>
        <v>16.600000000000001</v>
      </c>
      <c r="H398" s="809"/>
      <c r="I398" s="176">
        <f>G398*H398</f>
        <v>0</v>
      </c>
    </row>
    <row r="399" spans="1:10" ht="12" customHeight="1">
      <c r="A399" s="126"/>
      <c r="C399" s="202"/>
      <c r="D399" s="208"/>
      <c r="E399" s="856"/>
      <c r="F399" s="192"/>
      <c r="G399" s="784"/>
      <c r="H399" s="809"/>
      <c r="I399" s="176"/>
    </row>
    <row r="400" spans="1:10" ht="33.75" customHeight="1">
      <c r="A400" s="126" t="str">
        <f t="shared" si="12"/>
        <v>A1</v>
      </c>
      <c r="B400" s="13">
        <v>10</v>
      </c>
      <c r="C400" s="202" t="s">
        <v>714</v>
      </c>
      <c r="D400" s="341" t="s">
        <v>1082</v>
      </c>
      <c r="E400" s="855"/>
      <c r="F400" s="192"/>
      <c r="G400" s="784"/>
      <c r="H400" s="809"/>
      <c r="I400" s="176"/>
    </row>
    <row r="401" spans="1:10" ht="12" customHeight="1">
      <c r="A401" s="126"/>
      <c r="C401" s="202"/>
      <c r="D401" s="208" t="s">
        <v>1081</v>
      </c>
      <c r="E401" s="856"/>
      <c r="F401" s="192" t="s">
        <v>0</v>
      </c>
      <c r="G401" s="784">
        <f>(30+14+8)*0.6*0.5*1.2</f>
        <v>18.72</v>
      </c>
      <c r="H401" s="809"/>
      <c r="I401" s="176">
        <f>G401*H401</f>
        <v>0</v>
      </c>
    </row>
    <row r="402" spans="1:10" ht="12" customHeight="1">
      <c r="A402" s="126"/>
      <c r="C402" s="202"/>
      <c r="D402" s="208"/>
      <c r="E402" s="856"/>
      <c r="F402" s="192"/>
      <c r="G402" s="784"/>
      <c r="H402" s="809"/>
      <c r="I402" s="176"/>
    </row>
    <row r="403" spans="1:10" ht="12" customHeight="1">
      <c r="A403" s="126"/>
      <c r="C403" s="202"/>
      <c r="D403" s="208"/>
      <c r="E403" s="856"/>
      <c r="F403" s="192"/>
      <c r="G403" s="784"/>
      <c r="H403" s="809"/>
      <c r="I403" s="176"/>
    </row>
    <row r="404" spans="1:10" s="49" customFormat="1" ht="51">
      <c r="A404" s="405"/>
      <c r="B404" s="202"/>
      <c r="C404" s="202" t="s">
        <v>874</v>
      </c>
      <c r="D404" s="209" t="s">
        <v>1092</v>
      </c>
      <c r="E404" s="889"/>
      <c r="F404" s="192"/>
      <c r="G404" s="784"/>
      <c r="H404" s="809"/>
      <c r="I404" s="176"/>
      <c r="J404" s="48"/>
    </row>
    <row r="405" spans="1:10" s="49" customFormat="1">
      <c r="A405" s="405"/>
      <c r="B405" s="202"/>
      <c r="C405" s="202"/>
      <c r="D405" s="209"/>
      <c r="E405" s="889"/>
      <c r="F405" s="192"/>
      <c r="G405" s="784"/>
      <c r="H405" s="809"/>
      <c r="I405" s="176"/>
      <c r="J405" s="48"/>
    </row>
    <row r="406" spans="1:10" ht="12" customHeight="1">
      <c r="A406" s="126"/>
      <c r="C406" s="202"/>
      <c r="D406" s="208" t="s">
        <v>382</v>
      </c>
      <c r="E406" s="856"/>
      <c r="F406" s="192" t="s">
        <v>12</v>
      </c>
      <c r="G406" s="784">
        <v>1540</v>
      </c>
      <c r="H406" s="809"/>
      <c r="I406" s="176">
        <f>G406*H406</f>
        <v>0</v>
      </c>
    </row>
    <row r="407" spans="1:10" ht="12" customHeight="1">
      <c r="A407" s="126" t="str">
        <f t="shared" si="12"/>
        <v>A1</v>
      </c>
      <c r="B407" s="13">
        <v>10</v>
      </c>
      <c r="C407" s="202"/>
      <c r="D407" s="193"/>
      <c r="E407" s="901"/>
      <c r="F407" s="192"/>
      <c r="G407" s="784"/>
      <c r="H407" s="809"/>
      <c r="I407" s="176"/>
    </row>
    <row r="408" spans="1:10" ht="12" customHeight="1">
      <c r="A408" s="126" t="str">
        <f t="shared" si="12"/>
        <v>A1</v>
      </c>
      <c r="B408" s="13">
        <v>10</v>
      </c>
      <c r="C408" s="131">
        <f>C395</f>
        <v>10</v>
      </c>
      <c r="D408" s="119" t="str">
        <f>D395</f>
        <v>KAMENARSKI RADOVI</v>
      </c>
      <c r="E408" s="869"/>
      <c r="F408" s="840"/>
      <c r="G408" s="798"/>
      <c r="H408" s="799"/>
      <c r="I408" s="153">
        <f>SUM(I395:I407)</f>
        <v>0</v>
      </c>
    </row>
    <row r="409" spans="1:10" ht="12" customHeight="1">
      <c r="A409" s="126" t="str">
        <f t="shared" si="12"/>
        <v>A1</v>
      </c>
      <c r="C409" s="65"/>
      <c r="D409" s="66"/>
      <c r="E409" s="886"/>
      <c r="G409" s="352"/>
      <c r="H409" s="797"/>
      <c r="I409" s="144"/>
    </row>
    <row r="410" spans="1:10" ht="12" customHeight="1">
      <c r="A410" s="126" t="str">
        <f t="shared" si="12"/>
        <v>A1</v>
      </c>
      <c r="C410" s="132"/>
      <c r="D410" s="44"/>
      <c r="E410" s="871"/>
      <c r="G410" s="352"/>
      <c r="H410" s="797"/>
      <c r="I410" s="144"/>
    </row>
    <row r="411" spans="1:10" ht="12" customHeight="1">
      <c r="A411" s="126" t="str">
        <f t="shared" si="12"/>
        <v>A1</v>
      </c>
      <c r="B411" s="13">
        <v>11</v>
      </c>
      <c r="C411" s="125">
        <v>11</v>
      </c>
      <c r="D411" s="120" t="s">
        <v>90</v>
      </c>
      <c r="E411" s="865"/>
      <c r="F411" s="841"/>
      <c r="G411" s="801"/>
      <c r="H411" s="796"/>
      <c r="I411" s="154"/>
      <c r="J411" s="15"/>
    </row>
    <row r="412" spans="1:10" ht="12" customHeight="1">
      <c r="A412" s="126" t="str">
        <f t="shared" si="12"/>
        <v>A1</v>
      </c>
      <c r="B412" s="13">
        <v>11</v>
      </c>
      <c r="C412" s="65"/>
      <c r="D412" s="66"/>
      <c r="E412" s="886"/>
      <c r="G412" s="352"/>
      <c r="H412" s="797"/>
      <c r="I412" s="144"/>
      <c r="J412" s="15"/>
    </row>
    <row r="413" spans="1:10" ht="216.75">
      <c r="A413" s="126" t="str">
        <f t="shared" si="12"/>
        <v>A1</v>
      </c>
      <c r="B413" s="13">
        <v>11</v>
      </c>
      <c r="C413" s="63" t="s">
        <v>87</v>
      </c>
      <c r="D413" s="239" t="s">
        <v>1036</v>
      </c>
      <c r="E413" s="853"/>
      <c r="G413" s="352"/>
      <c r="H413" s="797"/>
      <c r="I413" s="144"/>
      <c r="J413" s="15"/>
    </row>
    <row r="414" spans="1:10">
      <c r="A414" s="126"/>
      <c r="C414" s="65"/>
      <c r="D414" s="239" t="s">
        <v>778</v>
      </c>
      <c r="E414" s="853"/>
      <c r="F414" s="829" t="s">
        <v>12</v>
      </c>
      <c r="G414" s="352">
        <f>+'MAPA 1-ISKAZ KOLIČINA'!AM16</f>
        <v>85.28</v>
      </c>
      <c r="H414" s="809"/>
      <c r="I414" s="176">
        <f t="shared" ref="I414:I415" si="24">G414*H414</f>
        <v>0</v>
      </c>
      <c r="J414" s="15"/>
    </row>
    <row r="415" spans="1:10" ht="25.5">
      <c r="A415" s="126"/>
      <c r="C415" s="65"/>
      <c r="D415" s="214" t="s">
        <v>815</v>
      </c>
      <c r="E415" s="872"/>
      <c r="F415" s="829" t="s">
        <v>12</v>
      </c>
      <c r="G415" s="352">
        <f>G414</f>
        <v>85.28</v>
      </c>
      <c r="H415" s="797"/>
      <c r="I415" s="176">
        <f t="shared" si="24"/>
        <v>0</v>
      </c>
      <c r="J415" s="15"/>
    </row>
    <row r="416" spans="1:10">
      <c r="A416" s="126"/>
      <c r="C416" s="65"/>
      <c r="D416" s="214"/>
      <c r="E416" s="872"/>
      <c r="F416" s="837"/>
      <c r="G416" s="790"/>
      <c r="H416" s="797"/>
      <c r="I416" s="144"/>
      <c r="J416" s="15"/>
    </row>
    <row r="417" spans="1:10" ht="25.5">
      <c r="A417" s="126"/>
      <c r="C417" s="63" t="s">
        <v>390</v>
      </c>
      <c r="D417" s="239" t="s">
        <v>1037</v>
      </c>
      <c r="E417" s="853"/>
      <c r="F417" s="837"/>
      <c r="G417" s="790"/>
      <c r="H417" s="797"/>
      <c r="I417" s="144"/>
      <c r="J417" s="15"/>
    </row>
    <row r="418" spans="1:10">
      <c r="A418" s="126"/>
      <c r="D418" s="239" t="s">
        <v>1038</v>
      </c>
      <c r="E418" s="853"/>
      <c r="F418" s="837" t="s">
        <v>8</v>
      </c>
      <c r="G418" s="790">
        <v>70</v>
      </c>
      <c r="H418" s="797"/>
      <c r="I418" s="176">
        <f t="shared" ref="I418:I419" si="25">G418*H418</f>
        <v>0</v>
      </c>
      <c r="J418" s="15"/>
    </row>
    <row r="419" spans="1:10">
      <c r="A419" s="126"/>
      <c r="D419" s="214" t="s">
        <v>816</v>
      </c>
      <c r="E419" s="872"/>
      <c r="F419" s="837" t="s">
        <v>8</v>
      </c>
      <c r="G419" s="790">
        <f>G418</f>
        <v>70</v>
      </c>
      <c r="H419" s="797"/>
      <c r="I419" s="176">
        <f t="shared" si="25"/>
        <v>0</v>
      </c>
      <c r="J419" s="15"/>
    </row>
    <row r="420" spans="1:10" ht="12" customHeight="1">
      <c r="A420" s="126" t="str">
        <f t="shared" si="12"/>
        <v>A1</v>
      </c>
      <c r="B420" s="13">
        <v>11</v>
      </c>
      <c r="C420" s="65"/>
      <c r="D420" s="66"/>
      <c r="E420" s="886"/>
      <c r="G420" s="352"/>
      <c r="H420" s="797"/>
      <c r="I420" s="144"/>
      <c r="J420" s="15"/>
    </row>
    <row r="421" spans="1:10" ht="216.75">
      <c r="A421" s="126" t="str">
        <f t="shared" si="12"/>
        <v>A1</v>
      </c>
      <c r="B421" s="13">
        <v>11</v>
      </c>
      <c r="C421" s="63" t="s">
        <v>391</v>
      </c>
      <c r="D421" s="239" t="s">
        <v>1041</v>
      </c>
      <c r="E421" s="853"/>
      <c r="G421" s="352"/>
      <c r="H421" s="797"/>
      <c r="I421" s="144"/>
      <c r="J421" s="15"/>
    </row>
    <row r="422" spans="1:10" ht="12" customHeight="1">
      <c r="A422" s="126" t="str">
        <f t="shared" si="12"/>
        <v>A1</v>
      </c>
      <c r="B422" s="13">
        <v>11</v>
      </c>
      <c r="C422" s="65"/>
      <c r="D422" s="239" t="s">
        <v>778</v>
      </c>
      <c r="E422" s="853"/>
      <c r="F422" s="829" t="s">
        <v>12</v>
      </c>
      <c r="G422" s="352">
        <f>+'MAPA 1-ISKAZ KOLIČINA'!AO16</f>
        <v>28.97</v>
      </c>
      <c r="H422" s="797"/>
      <c r="I422" s="176">
        <f t="shared" ref="I422:I423" si="26">G422*H422</f>
        <v>0</v>
      </c>
      <c r="J422" s="15"/>
    </row>
    <row r="423" spans="1:10" ht="25.5">
      <c r="A423" s="126"/>
      <c r="C423" s="65"/>
      <c r="D423" s="214" t="s">
        <v>815</v>
      </c>
      <c r="E423" s="872"/>
      <c r="F423" s="829" t="s">
        <v>12</v>
      </c>
      <c r="G423" s="352">
        <f>G422</f>
        <v>28.97</v>
      </c>
      <c r="H423" s="797"/>
      <c r="I423" s="176">
        <f t="shared" si="26"/>
        <v>0</v>
      </c>
      <c r="J423" s="15"/>
    </row>
    <row r="424" spans="1:10" ht="12" customHeight="1">
      <c r="A424" s="126"/>
      <c r="C424" s="65"/>
      <c r="D424" s="239"/>
      <c r="E424" s="853"/>
      <c r="G424" s="352"/>
      <c r="H424" s="797"/>
      <c r="I424" s="144"/>
      <c r="J424" s="15"/>
    </row>
    <row r="425" spans="1:10" ht="25.5">
      <c r="A425" s="126"/>
      <c r="C425" s="63" t="s">
        <v>392</v>
      </c>
      <c r="D425" s="239" t="s">
        <v>779</v>
      </c>
      <c r="E425" s="853"/>
      <c r="G425" s="352"/>
      <c r="H425" s="797"/>
      <c r="I425" s="144"/>
      <c r="J425" s="15"/>
    </row>
    <row r="426" spans="1:10" ht="12" customHeight="1">
      <c r="A426" s="126"/>
      <c r="C426" s="65"/>
      <c r="D426" s="239" t="s">
        <v>778</v>
      </c>
      <c r="E426" s="853"/>
      <c r="F426" s="829" t="s">
        <v>8</v>
      </c>
      <c r="G426" s="352">
        <f>+'MAPA 1-ISKAZ KOLIČINA'!AP16</f>
        <v>11.5</v>
      </c>
      <c r="H426" s="797"/>
      <c r="I426" s="176">
        <f t="shared" ref="I426:I427" si="27">G426*H426</f>
        <v>0</v>
      </c>
      <c r="J426" s="15"/>
    </row>
    <row r="427" spans="1:10">
      <c r="A427" s="126"/>
      <c r="C427" s="65"/>
      <c r="D427" s="214" t="s">
        <v>816</v>
      </c>
      <c r="E427" s="872"/>
      <c r="F427" s="829" t="s">
        <v>8</v>
      </c>
      <c r="G427" s="352">
        <f>+'MAPA 1-ISKAZ KOLIČINA'!AP16</f>
        <v>11.5</v>
      </c>
      <c r="H427" s="797"/>
      <c r="I427" s="176">
        <f t="shared" si="27"/>
        <v>0</v>
      </c>
      <c r="J427" s="15"/>
    </row>
    <row r="428" spans="1:10" ht="12" customHeight="1">
      <c r="A428" s="126"/>
      <c r="C428" s="65"/>
      <c r="D428" s="239"/>
      <c r="E428" s="853"/>
      <c r="G428" s="352"/>
      <c r="H428" s="797"/>
      <c r="I428" s="144"/>
      <c r="J428" s="15"/>
    </row>
    <row r="429" spans="1:10" ht="204">
      <c r="A429" s="126" t="str">
        <f t="shared" si="12"/>
        <v>A1</v>
      </c>
      <c r="B429" s="13">
        <v>11</v>
      </c>
      <c r="C429" s="202" t="s">
        <v>393</v>
      </c>
      <c r="D429" s="239" t="s">
        <v>1039</v>
      </c>
      <c r="E429" s="853"/>
      <c r="F429" s="192"/>
      <c r="G429" s="784"/>
      <c r="H429" s="809"/>
      <c r="I429" s="176"/>
      <c r="J429" s="15"/>
    </row>
    <row r="430" spans="1:10" ht="12" customHeight="1">
      <c r="A430" s="126" t="str">
        <f t="shared" si="12"/>
        <v>A1</v>
      </c>
      <c r="B430" s="13">
        <v>11</v>
      </c>
      <c r="C430" s="202"/>
      <c r="D430" s="172" t="s">
        <v>91</v>
      </c>
      <c r="E430" s="872"/>
      <c r="F430" s="192"/>
      <c r="G430" s="784"/>
      <c r="H430" s="809"/>
      <c r="I430" s="176"/>
      <c r="J430" s="15"/>
    </row>
    <row r="431" spans="1:10" ht="12" customHeight="1">
      <c r="A431" s="126"/>
      <c r="C431" s="202"/>
      <c r="D431" s="239" t="s">
        <v>778</v>
      </c>
      <c r="E431" s="853"/>
      <c r="F431" s="192" t="s">
        <v>12</v>
      </c>
      <c r="G431" s="784">
        <f>+'MAPA 1-ISKAZ KOLIČINA'!AL16</f>
        <v>58.260000000000005</v>
      </c>
      <c r="H431" s="809"/>
      <c r="I431" s="176">
        <f>G431*H431</f>
        <v>0</v>
      </c>
      <c r="J431" s="15"/>
    </row>
    <row r="432" spans="1:10" ht="25.5">
      <c r="A432" s="126"/>
      <c r="C432" s="202"/>
      <c r="D432" s="214" t="s">
        <v>815</v>
      </c>
      <c r="E432" s="872"/>
      <c r="F432" s="192" t="s">
        <v>12</v>
      </c>
      <c r="G432" s="784">
        <f>+'MAPA 1-ISKAZ KOLIČINA'!AL16</f>
        <v>58.260000000000005</v>
      </c>
      <c r="H432" s="809"/>
      <c r="I432" s="176">
        <f>G432*H432</f>
        <v>0</v>
      </c>
      <c r="J432" s="15"/>
    </row>
    <row r="433" spans="1:9" ht="12" customHeight="1">
      <c r="A433" s="126" t="str">
        <f t="shared" si="12"/>
        <v>A1</v>
      </c>
      <c r="B433" s="13">
        <v>11</v>
      </c>
      <c r="C433" s="202"/>
      <c r="D433" s="172"/>
      <c r="E433" s="872"/>
      <c r="F433" s="192"/>
      <c r="G433" s="784"/>
      <c r="H433" s="809"/>
      <c r="I433" s="176"/>
    </row>
    <row r="434" spans="1:9" ht="127.5">
      <c r="A434" s="126"/>
      <c r="C434" s="201" t="s">
        <v>707</v>
      </c>
      <c r="D434" s="239" t="s">
        <v>821</v>
      </c>
      <c r="E434" s="853"/>
      <c r="F434" s="192"/>
      <c r="G434" s="784"/>
      <c r="H434" s="809"/>
      <c r="I434" s="176"/>
    </row>
    <row r="435" spans="1:9" ht="12" customHeight="1">
      <c r="A435" s="126"/>
      <c r="C435" s="202"/>
      <c r="D435" s="214" t="s">
        <v>91</v>
      </c>
      <c r="E435" s="872"/>
      <c r="F435" s="192"/>
      <c r="G435" s="784"/>
      <c r="H435" s="809"/>
      <c r="I435" s="176"/>
    </row>
    <row r="436" spans="1:9" ht="12" customHeight="1">
      <c r="A436" s="126"/>
      <c r="C436" s="202"/>
      <c r="D436" s="239" t="s">
        <v>778</v>
      </c>
      <c r="E436" s="853"/>
      <c r="F436" s="192" t="s">
        <v>12</v>
      </c>
      <c r="G436" s="784">
        <f>+'MAPA 1-ISKAZ KOLIČINA'!BF16</f>
        <v>56.249500000000012</v>
      </c>
      <c r="H436" s="809"/>
      <c r="I436" s="176">
        <f>G436*H436</f>
        <v>0</v>
      </c>
    </row>
    <row r="437" spans="1:9" ht="25.5">
      <c r="A437" s="126"/>
      <c r="C437" s="202"/>
      <c r="D437" s="214" t="s">
        <v>89</v>
      </c>
      <c r="E437" s="872"/>
      <c r="F437" s="192" t="s">
        <v>12</v>
      </c>
      <c r="G437" s="784">
        <f>+'MAPA 1-ISKAZ KOLIČINA'!BF16</f>
        <v>56.249500000000012</v>
      </c>
      <c r="H437" s="809"/>
      <c r="I437" s="176">
        <f>G437*H437</f>
        <v>0</v>
      </c>
    </row>
    <row r="438" spans="1:9" ht="12" customHeight="1">
      <c r="A438" s="126"/>
      <c r="C438" s="202"/>
      <c r="D438" s="214"/>
      <c r="E438" s="872"/>
      <c r="F438" s="192"/>
      <c r="G438" s="784"/>
      <c r="H438" s="809"/>
      <c r="I438" s="176"/>
    </row>
    <row r="439" spans="1:9" ht="165.75">
      <c r="A439" s="126"/>
      <c r="C439" s="201" t="s">
        <v>708</v>
      </c>
      <c r="D439" s="239" t="s">
        <v>1040</v>
      </c>
      <c r="E439" s="853"/>
      <c r="F439" s="192"/>
      <c r="G439" s="784"/>
      <c r="H439" s="809"/>
      <c r="I439" s="176"/>
    </row>
    <row r="440" spans="1:9" ht="12" customHeight="1">
      <c r="A440" s="126"/>
      <c r="C440" s="202"/>
      <c r="D440" s="214" t="s">
        <v>91</v>
      </c>
      <c r="E440" s="872"/>
      <c r="F440" s="192"/>
      <c r="G440" s="784"/>
      <c r="H440" s="809"/>
      <c r="I440" s="176"/>
    </row>
    <row r="441" spans="1:9" ht="12" customHeight="1">
      <c r="A441" s="126"/>
      <c r="C441" s="202"/>
      <c r="D441" s="239" t="s">
        <v>778</v>
      </c>
      <c r="E441" s="853"/>
      <c r="F441" s="192" t="s">
        <v>12</v>
      </c>
      <c r="G441" s="784">
        <f>9.3*1.8</f>
        <v>16.740000000000002</v>
      </c>
      <c r="H441" s="809"/>
      <c r="I441" s="176">
        <f>G441*H441</f>
        <v>0</v>
      </c>
    </row>
    <row r="442" spans="1:9" ht="25.5">
      <c r="A442" s="126"/>
      <c r="C442" s="202"/>
      <c r="D442" s="214" t="s">
        <v>89</v>
      </c>
      <c r="E442" s="872"/>
      <c r="F442" s="192" t="s">
        <v>12</v>
      </c>
      <c r="G442" s="784">
        <f>G441</f>
        <v>16.740000000000002</v>
      </c>
      <c r="H442" s="809"/>
      <c r="I442" s="176">
        <f>G442*H442</f>
        <v>0</v>
      </c>
    </row>
    <row r="443" spans="1:9">
      <c r="A443" s="126"/>
      <c r="C443" s="202"/>
      <c r="D443" s="214"/>
      <c r="E443" s="872"/>
      <c r="F443" s="192"/>
      <c r="G443" s="784"/>
      <c r="H443" s="809"/>
      <c r="I443" s="176"/>
    </row>
    <row r="444" spans="1:9" ht="178.5">
      <c r="A444" s="126" t="str">
        <f t="shared" si="12"/>
        <v>A1</v>
      </c>
      <c r="B444" s="13">
        <v>11</v>
      </c>
      <c r="C444" s="202" t="s">
        <v>709</v>
      </c>
      <c r="D444" s="239" t="s">
        <v>1042</v>
      </c>
      <c r="E444" s="853"/>
      <c r="F444" s="192"/>
      <c r="G444" s="784"/>
      <c r="H444" s="809"/>
      <c r="I444" s="176"/>
    </row>
    <row r="445" spans="1:9" ht="12" customHeight="1">
      <c r="A445" s="126" t="str">
        <f t="shared" ref="A445:A495" si="28">$C$11</f>
        <v>A1</v>
      </c>
      <c r="B445" s="13">
        <v>11</v>
      </c>
      <c r="C445" s="202"/>
      <c r="D445" s="172" t="s">
        <v>91</v>
      </c>
      <c r="E445" s="872"/>
      <c r="F445" s="192"/>
      <c r="G445" s="784"/>
      <c r="H445" s="809"/>
      <c r="I445" s="176"/>
    </row>
    <row r="446" spans="1:9" ht="12" customHeight="1">
      <c r="A446" s="126"/>
      <c r="C446" s="202"/>
      <c r="D446" s="239" t="s">
        <v>778</v>
      </c>
      <c r="E446" s="853"/>
      <c r="F446" s="192" t="s">
        <v>12</v>
      </c>
      <c r="G446" s="784">
        <v>250</v>
      </c>
      <c r="H446" s="809"/>
      <c r="I446" s="176">
        <f>G446*H446</f>
        <v>0</v>
      </c>
    </row>
    <row r="447" spans="1:9" ht="25.5">
      <c r="A447" s="126" t="str">
        <f t="shared" si="28"/>
        <v>A1</v>
      </c>
      <c r="B447" s="13">
        <v>11</v>
      </c>
      <c r="C447" s="202"/>
      <c r="D447" s="172" t="s">
        <v>89</v>
      </c>
      <c r="E447" s="872"/>
      <c r="F447" s="192" t="s">
        <v>12</v>
      </c>
      <c r="G447" s="784">
        <f>+'MAPA 1-ISKAZ KOLIČINA'!BE16</f>
        <v>116.04249999999999</v>
      </c>
      <c r="H447" s="809"/>
      <c r="I447" s="176">
        <f>G447*H447</f>
        <v>0</v>
      </c>
    </row>
    <row r="448" spans="1:9" ht="12" customHeight="1">
      <c r="A448" s="126" t="str">
        <f t="shared" si="28"/>
        <v>A1</v>
      </c>
      <c r="B448" s="13">
        <v>11</v>
      </c>
      <c r="C448" s="202"/>
      <c r="D448" s="172"/>
      <c r="E448" s="872"/>
      <c r="F448" s="192"/>
      <c r="G448" s="784"/>
      <c r="H448" s="809"/>
      <c r="I448" s="176"/>
    </row>
    <row r="449" spans="1:10" ht="204">
      <c r="A449" s="126" t="str">
        <f t="shared" si="28"/>
        <v>A1</v>
      </c>
      <c r="B449" s="13">
        <v>11</v>
      </c>
      <c r="C449" s="202" t="s">
        <v>710</v>
      </c>
      <c r="D449" s="239" t="s">
        <v>1043</v>
      </c>
      <c r="E449" s="853"/>
      <c r="F449" s="192"/>
      <c r="G449" s="784"/>
      <c r="H449" s="809"/>
      <c r="I449" s="176"/>
      <c r="J449" s="15"/>
    </row>
    <row r="450" spans="1:10" ht="12" customHeight="1">
      <c r="A450" s="126" t="str">
        <f t="shared" si="28"/>
        <v>A1</v>
      </c>
      <c r="B450" s="13">
        <v>11</v>
      </c>
      <c r="C450" s="202"/>
      <c r="D450" s="214" t="s">
        <v>91</v>
      </c>
      <c r="E450" s="872"/>
      <c r="F450" s="192"/>
      <c r="G450" s="784"/>
      <c r="H450" s="809"/>
      <c r="I450" s="176"/>
      <c r="J450" s="15"/>
    </row>
    <row r="451" spans="1:10" ht="12" customHeight="1">
      <c r="A451" s="126"/>
      <c r="C451" s="202"/>
      <c r="D451" s="239" t="s">
        <v>778</v>
      </c>
      <c r="E451" s="853"/>
      <c r="F451" s="192" t="s">
        <v>12</v>
      </c>
      <c r="G451" s="784">
        <f>+'MAPA 1-ISKAZ KOLIČINA'!AQ16</f>
        <v>52.62</v>
      </c>
      <c r="H451" s="809"/>
      <c r="I451" s="176">
        <f t="shared" ref="I451:I452" si="29">G451*H451</f>
        <v>0</v>
      </c>
      <c r="J451" s="15"/>
    </row>
    <row r="452" spans="1:10" ht="25.5">
      <c r="A452" s="126"/>
      <c r="C452" s="202"/>
      <c r="D452" s="214" t="s">
        <v>815</v>
      </c>
      <c r="E452" s="872"/>
      <c r="F452" s="192" t="s">
        <v>12</v>
      </c>
      <c r="G452" s="784">
        <f>+'MAPA 1-ISKAZ KOLIČINA'!AQ16</f>
        <v>52.62</v>
      </c>
      <c r="H452" s="809"/>
      <c r="I452" s="176">
        <f t="shared" si="29"/>
        <v>0</v>
      </c>
      <c r="J452" s="15"/>
    </row>
    <row r="453" spans="1:10" ht="12" customHeight="1">
      <c r="A453" s="126" t="str">
        <f t="shared" si="28"/>
        <v>A1</v>
      </c>
      <c r="B453" s="13">
        <v>11</v>
      </c>
      <c r="C453" s="202"/>
      <c r="D453" s="214"/>
      <c r="E453" s="872"/>
      <c r="F453" s="192"/>
      <c r="G453" s="784"/>
      <c r="H453" s="809"/>
      <c r="I453" s="176"/>
      <c r="J453" s="15"/>
    </row>
    <row r="454" spans="1:10" ht="25.5">
      <c r="A454" s="126"/>
      <c r="C454" s="202" t="s">
        <v>427</v>
      </c>
      <c r="D454" s="239" t="s">
        <v>1044</v>
      </c>
      <c r="E454" s="853"/>
      <c r="F454" s="192"/>
      <c r="G454" s="784"/>
      <c r="H454" s="809"/>
      <c r="I454" s="176"/>
      <c r="J454" s="15"/>
    </row>
    <row r="455" spans="1:10" ht="12" customHeight="1">
      <c r="A455" s="126"/>
      <c r="C455" s="202"/>
      <c r="D455" s="239" t="s">
        <v>706</v>
      </c>
      <c r="E455" s="853"/>
      <c r="F455" s="192"/>
      <c r="G455" s="784"/>
      <c r="H455" s="809"/>
      <c r="I455" s="176"/>
      <c r="J455" s="15"/>
    </row>
    <row r="456" spans="1:10" ht="12" customHeight="1">
      <c r="A456" s="126" t="str">
        <f t="shared" si="28"/>
        <v>A1</v>
      </c>
      <c r="B456" s="13">
        <v>11</v>
      </c>
      <c r="C456" s="202"/>
      <c r="D456" s="239" t="s">
        <v>778</v>
      </c>
      <c r="E456" s="853"/>
      <c r="F456" s="192" t="s">
        <v>8</v>
      </c>
      <c r="G456" s="784">
        <v>70</v>
      </c>
      <c r="H456" s="809"/>
      <c r="I456" s="176">
        <f t="shared" ref="I456:I457" si="30">G456*H456</f>
        <v>0</v>
      </c>
      <c r="J456" s="15"/>
    </row>
    <row r="457" spans="1:10" ht="12" customHeight="1">
      <c r="A457" s="126"/>
      <c r="C457" s="202"/>
      <c r="D457" s="214" t="s">
        <v>816</v>
      </c>
      <c r="E457" s="872"/>
      <c r="F457" s="192" t="s">
        <v>8</v>
      </c>
      <c r="G457" s="784">
        <f>+'MAPA 1-ISKAZ KOLIČINA'!AR16</f>
        <v>42.120000000000005</v>
      </c>
      <c r="H457" s="809"/>
      <c r="I457" s="176">
        <f t="shared" si="30"/>
        <v>0</v>
      </c>
      <c r="J457" s="15"/>
    </row>
    <row r="458" spans="1:10" ht="12" customHeight="1">
      <c r="A458" s="126"/>
      <c r="C458" s="202"/>
      <c r="D458" s="214"/>
      <c r="E458" s="872"/>
      <c r="F458" s="192"/>
      <c r="G458" s="784"/>
      <c r="H458" s="809"/>
      <c r="I458" s="176"/>
      <c r="J458" s="15"/>
    </row>
    <row r="459" spans="1:10" ht="33" customHeight="1">
      <c r="A459" s="126" t="str">
        <f t="shared" si="28"/>
        <v>A1</v>
      </c>
      <c r="B459" s="13">
        <v>11</v>
      </c>
      <c r="C459" s="202" t="s">
        <v>428</v>
      </c>
      <c r="D459" s="239" t="s">
        <v>780</v>
      </c>
      <c r="E459" s="853"/>
      <c r="F459" s="192"/>
      <c r="G459" s="784"/>
      <c r="H459" s="809"/>
      <c r="I459" s="176"/>
      <c r="J459" s="15"/>
    </row>
    <row r="460" spans="1:10" ht="12" customHeight="1">
      <c r="A460" s="126" t="str">
        <f t="shared" si="28"/>
        <v>A1</v>
      </c>
      <c r="B460" s="13">
        <v>11</v>
      </c>
      <c r="C460" s="202"/>
      <c r="D460" s="214" t="s">
        <v>383</v>
      </c>
      <c r="E460" s="872"/>
      <c r="F460" s="192" t="s">
        <v>56</v>
      </c>
      <c r="G460" s="784">
        <f>+'MAPA 1-ISKAZ KOLIČINA'!BG16</f>
        <v>12.450000000000001</v>
      </c>
      <c r="H460" s="809"/>
      <c r="I460" s="176">
        <f>G460*H460</f>
        <v>0</v>
      </c>
      <c r="J460" s="15"/>
    </row>
    <row r="461" spans="1:10" ht="12" customHeight="1">
      <c r="A461" s="126" t="str">
        <f t="shared" si="28"/>
        <v>A1</v>
      </c>
      <c r="B461" s="13">
        <v>11</v>
      </c>
      <c r="C461" s="202"/>
      <c r="D461" s="214"/>
      <c r="E461" s="872"/>
      <c r="F461" s="192"/>
      <c r="G461" s="784"/>
      <c r="H461" s="809"/>
      <c r="I461" s="176"/>
      <c r="J461" s="15"/>
    </row>
    <row r="462" spans="1:10" ht="12" customHeight="1">
      <c r="A462" s="126" t="str">
        <f t="shared" si="28"/>
        <v>A1</v>
      </c>
      <c r="B462" s="13">
        <v>11</v>
      </c>
      <c r="C462" s="131">
        <f>C411</f>
        <v>11</v>
      </c>
      <c r="D462" s="119" t="str">
        <f>D411</f>
        <v>KERAMIČARSKI RADOVI</v>
      </c>
      <c r="E462" s="869"/>
      <c r="F462" s="840"/>
      <c r="G462" s="798"/>
      <c r="H462" s="799"/>
      <c r="I462" s="153">
        <f>SUM(I411:I461)</f>
        <v>0</v>
      </c>
      <c r="J462" s="15"/>
    </row>
    <row r="463" spans="1:10" ht="12" customHeight="1">
      <c r="A463" s="126" t="str">
        <f t="shared" si="28"/>
        <v>A1</v>
      </c>
      <c r="C463" s="65"/>
      <c r="D463" s="66"/>
      <c r="E463" s="886"/>
      <c r="G463" s="352"/>
      <c r="H463" s="797"/>
      <c r="I463" s="144"/>
      <c r="J463" s="15"/>
    </row>
    <row r="464" spans="1:10" ht="12" customHeight="1">
      <c r="A464" s="126" t="str">
        <f t="shared" si="28"/>
        <v>A1</v>
      </c>
      <c r="B464" s="13">
        <v>12</v>
      </c>
      <c r="C464" s="125">
        <v>12</v>
      </c>
      <c r="D464" s="120" t="s">
        <v>1055</v>
      </c>
      <c r="E464" s="865"/>
      <c r="F464" s="841"/>
      <c r="G464" s="801"/>
      <c r="H464" s="796"/>
      <c r="I464" s="154"/>
      <c r="J464" s="15"/>
    </row>
    <row r="465" spans="1:10" ht="12" customHeight="1">
      <c r="A465" s="126" t="str">
        <f t="shared" si="28"/>
        <v>A1</v>
      </c>
      <c r="B465" s="13">
        <v>12</v>
      </c>
      <c r="C465" s="65"/>
      <c r="D465" s="66"/>
      <c r="E465" s="886"/>
      <c r="G465" s="352"/>
      <c r="H465" s="797"/>
      <c r="I465" s="144"/>
      <c r="J465" s="15"/>
    </row>
    <row r="466" spans="1:10" ht="27" customHeight="1">
      <c r="A466" s="126"/>
      <c r="C466" s="202" t="s">
        <v>88</v>
      </c>
      <c r="D466" s="239" t="s">
        <v>875</v>
      </c>
      <c r="E466" s="853"/>
      <c r="G466" s="352"/>
      <c r="H466" s="797"/>
      <c r="I466" s="144"/>
      <c r="J466" s="15"/>
    </row>
    <row r="467" spans="1:10" ht="71.25" customHeight="1">
      <c r="A467" s="126"/>
      <c r="C467" s="65"/>
      <c r="D467" s="239" t="s">
        <v>879</v>
      </c>
      <c r="E467" s="853"/>
      <c r="G467" s="352"/>
      <c r="H467" s="797"/>
      <c r="I467" s="144"/>
      <c r="J467" s="15"/>
    </row>
    <row r="468" spans="1:10" ht="66" customHeight="1">
      <c r="A468" s="126"/>
      <c r="C468" s="65"/>
      <c r="D468" s="239" t="s">
        <v>880</v>
      </c>
      <c r="E468" s="853"/>
      <c r="G468" s="352"/>
      <c r="H468" s="797"/>
      <c r="I468" s="144"/>
      <c r="J468" s="15"/>
    </row>
    <row r="469" spans="1:10" ht="26.25" customHeight="1">
      <c r="A469" s="126"/>
      <c r="C469" s="65"/>
      <c r="D469" s="239" t="s">
        <v>876</v>
      </c>
      <c r="E469" s="853"/>
      <c r="G469" s="352"/>
      <c r="H469" s="797"/>
      <c r="I469" s="144"/>
      <c r="J469" s="15"/>
    </row>
    <row r="470" spans="1:10" s="49" customFormat="1" ht="40.5" customHeight="1">
      <c r="A470" s="405"/>
      <c r="B470" s="202"/>
      <c r="C470" s="65"/>
      <c r="D470" s="239" t="s">
        <v>878</v>
      </c>
      <c r="E470" s="853"/>
      <c r="F470" s="849" t="s">
        <v>514</v>
      </c>
      <c r="G470" s="785">
        <f>6*3</f>
        <v>18</v>
      </c>
      <c r="H470" s="809"/>
      <c r="I470" s="176">
        <f>G470*H470</f>
        <v>0</v>
      </c>
      <c r="J470" s="408"/>
    </row>
    <row r="471" spans="1:10" ht="12" customHeight="1">
      <c r="A471" s="126"/>
      <c r="C471" s="65"/>
      <c r="D471" s="239"/>
      <c r="E471" s="853"/>
      <c r="G471" s="352"/>
      <c r="H471" s="797"/>
      <c r="I471" s="144"/>
      <c r="J471" s="15"/>
    </row>
    <row r="472" spans="1:10" ht="24.75" customHeight="1">
      <c r="A472" s="126"/>
      <c r="C472" s="202" t="s">
        <v>423</v>
      </c>
      <c r="D472" s="239" t="s">
        <v>1052</v>
      </c>
      <c r="E472" s="853"/>
      <c r="G472" s="352"/>
      <c r="H472" s="797"/>
      <c r="I472" s="144"/>
      <c r="J472" s="15"/>
    </row>
    <row r="473" spans="1:10" ht="51" customHeight="1">
      <c r="A473" s="126"/>
      <c r="C473" s="65"/>
      <c r="D473" s="239" t="s">
        <v>1053</v>
      </c>
      <c r="E473" s="853"/>
      <c r="G473" s="352"/>
      <c r="H473" s="797"/>
      <c r="I473" s="144"/>
      <c r="J473" s="15"/>
    </row>
    <row r="474" spans="1:10" ht="30.75" customHeight="1">
      <c r="A474" s="126"/>
      <c r="C474" s="65"/>
      <c r="D474" s="239" t="s">
        <v>877</v>
      </c>
      <c r="E474" s="853"/>
      <c r="G474" s="352"/>
      <c r="H474" s="797"/>
      <c r="I474" s="144"/>
      <c r="J474" s="15"/>
    </row>
    <row r="475" spans="1:10" ht="30.75" customHeight="1">
      <c r="A475" s="126"/>
      <c r="C475" s="65"/>
      <c r="D475" s="239" t="s">
        <v>1054</v>
      </c>
      <c r="E475" s="853"/>
      <c r="G475" s="352"/>
      <c r="H475" s="797"/>
      <c r="I475" s="144"/>
      <c r="J475" s="15"/>
    </row>
    <row r="476" spans="1:10" ht="45.75" customHeight="1">
      <c r="A476" s="126"/>
      <c r="C476" s="65"/>
      <c r="D476" s="239" t="s">
        <v>881</v>
      </c>
      <c r="E476" s="853"/>
      <c r="F476" s="849" t="s">
        <v>514</v>
      </c>
      <c r="G476" s="785">
        <v>75</v>
      </c>
      <c r="H476" s="809"/>
      <c r="I476" s="176">
        <f>G476*H476</f>
        <v>0</v>
      </c>
      <c r="J476" s="218"/>
    </row>
    <row r="477" spans="1:10" ht="12" customHeight="1">
      <c r="A477" s="126"/>
      <c r="C477" s="65"/>
      <c r="D477" s="239"/>
      <c r="E477" s="853"/>
      <c r="G477" s="352"/>
      <c r="H477" s="797"/>
      <c r="I477" s="144"/>
      <c r="J477" s="15"/>
    </row>
    <row r="478" spans="1:10" ht="12" customHeight="1">
      <c r="A478" s="126" t="str">
        <f t="shared" si="28"/>
        <v>A1</v>
      </c>
      <c r="B478" s="13">
        <v>12</v>
      </c>
      <c r="C478" s="131">
        <f>C464</f>
        <v>12</v>
      </c>
      <c r="D478" s="119" t="s">
        <v>1055</v>
      </c>
      <c r="E478" s="869"/>
      <c r="F478" s="840"/>
      <c r="G478" s="798"/>
      <c r="H478" s="799"/>
      <c r="I478" s="153">
        <f>SUM(I470:I477)</f>
        <v>0</v>
      </c>
    </row>
    <row r="479" spans="1:10" ht="12" customHeight="1">
      <c r="A479" s="126" t="str">
        <f t="shared" si="28"/>
        <v>A1</v>
      </c>
      <c r="C479" s="65"/>
      <c r="D479" s="66"/>
      <c r="E479" s="886"/>
      <c r="G479" s="352"/>
      <c r="H479" s="797"/>
      <c r="I479" s="144"/>
    </row>
    <row r="480" spans="1:10" ht="12" customHeight="1">
      <c r="A480" s="126" t="str">
        <f t="shared" si="28"/>
        <v>A1</v>
      </c>
      <c r="C480" s="132"/>
      <c r="D480" s="44"/>
      <c r="E480" s="871"/>
      <c r="G480" s="352"/>
      <c r="H480" s="797"/>
      <c r="I480" s="144"/>
      <c r="J480" s="15"/>
    </row>
    <row r="481" spans="1:10" ht="12" customHeight="1">
      <c r="A481" s="126" t="str">
        <f t="shared" si="28"/>
        <v>A1</v>
      </c>
      <c r="B481" s="13">
        <v>12</v>
      </c>
      <c r="C481" s="125">
        <v>13</v>
      </c>
      <c r="D481" s="120" t="s">
        <v>92</v>
      </c>
      <c r="E481" s="865"/>
      <c r="F481" s="841"/>
      <c r="G481" s="801"/>
      <c r="H481" s="796"/>
      <c r="I481" s="154"/>
      <c r="J481" s="15"/>
    </row>
    <row r="482" spans="1:10" ht="12" customHeight="1">
      <c r="A482" s="126" t="str">
        <f t="shared" si="28"/>
        <v>A1</v>
      </c>
      <c r="B482" s="13">
        <v>12</v>
      </c>
      <c r="C482" s="65"/>
      <c r="D482" s="66"/>
      <c r="E482" s="886"/>
      <c r="G482" s="352"/>
      <c r="H482" s="797"/>
      <c r="I482" s="144"/>
      <c r="J482" s="15"/>
    </row>
    <row r="483" spans="1:10" ht="97.15" customHeight="1">
      <c r="A483" s="126" t="str">
        <f t="shared" si="28"/>
        <v>A1</v>
      </c>
      <c r="B483" s="13">
        <v>12</v>
      </c>
      <c r="C483" s="202" t="s">
        <v>88</v>
      </c>
      <c r="D483" s="215" t="s">
        <v>385</v>
      </c>
      <c r="E483" s="853"/>
      <c r="F483" s="192"/>
      <c r="G483" s="784"/>
      <c r="H483" s="809"/>
      <c r="I483" s="176"/>
      <c r="J483" s="15"/>
    </row>
    <row r="484" spans="1:10">
      <c r="A484" s="126" t="str">
        <f t="shared" si="28"/>
        <v>A1</v>
      </c>
      <c r="B484" s="13">
        <v>12</v>
      </c>
      <c r="C484" s="202"/>
      <c r="D484" s="172" t="s">
        <v>95</v>
      </c>
      <c r="E484" s="872"/>
      <c r="F484" s="192"/>
      <c r="G484" s="784"/>
      <c r="H484" s="809"/>
      <c r="I484" s="176"/>
    </row>
    <row r="485" spans="1:10">
      <c r="A485" s="126" t="str">
        <f t="shared" si="28"/>
        <v>A1</v>
      </c>
      <c r="B485" s="13">
        <v>12</v>
      </c>
      <c r="C485" s="202"/>
      <c r="D485" s="217"/>
      <c r="E485" s="902"/>
      <c r="F485" s="192"/>
      <c r="G485" s="784"/>
      <c r="H485" s="809"/>
      <c r="I485" s="176"/>
    </row>
    <row r="486" spans="1:10" ht="12" customHeight="1">
      <c r="A486" s="126" t="str">
        <f t="shared" si="28"/>
        <v>A1</v>
      </c>
      <c r="B486" s="13">
        <v>12</v>
      </c>
      <c r="C486" s="202"/>
      <c r="D486" s="172" t="s">
        <v>93</v>
      </c>
      <c r="E486" s="872"/>
      <c r="F486" s="192" t="s">
        <v>12</v>
      </c>
      <c r="G486" s="784">
        <f>+'MAPA 1-ISKAZ KOLIČINA'!BI16+'MAPA 1-ISKAZ KOLIČINA'!BJ16</f>
        <v>128.05959999999999</v>
      </c>
      <c r="H486" s="809"/>
      <c r="I486" s="176">
        <f>G486*H486</f>
        <v>0</v>
      </c>
    </row>
    <row r="487" spans="1:10" ht="12" customHeight="1">
      <c r="A487" s="126" t="str">
        <f t="shared" si="28"/>
        <v>A1</v>
      </c>
      <c r="B487" s="13">
        <v>12</v>
      </c>
      <c r="C487" s="202"/>
      <c r="D487" s="214" t="s">
        <v>94</v>
      </c>
      <c r="E487" s="872"/>
      <c r="F487" s="192" t="s">
        <v>12</v>
      </c>
      <c r="G487" s="784">
        <f>G264</f>
        <v>225.13</v>
      </c>
      <c r="H487" s="809"/>
      <c r="I487" s="176">
        <f>G487*H487</f>
        <v>0</v>
      </c>
    </row>
    <row r="488" spans="1:10" ht="12" customHeight="1">
      <c r="A488" s="126" t="str">
        <f t="shared" si="28"/>
        <v>A1</v>
      </c>
      <c r="B488" s="13">
        <v>12</v>
      </c>
      <c r="E488" s="883"/>
      <c r="G488" s="352"/>
      <c r="H488" s="797"/>
      <c r="I488" s="144"/>
    </row>
    <row r="489" spans="1:10" ht="31.5" customHeight="1">
      <c r="A489" s="126"/>
      <c r="C489" s="202" t="s">
        <v>423</v>
      </c>
      <c r="D489" s="64" t="s">
        <v>909</v>
      </c>
      <c r="E489" s="883"/>
      <c r="G489" s="352"/>
      <c r="H489" s="797"/>
      <c r="I489" s="144"/>
    </row>
    <row r="490" spans="1:10">
      <c r="A490" s="126" t="str">
        <f t="shared" si="28"/>
        <v>A1</v>
      </c>
      <c r="B490" s="13">
        <v>12</v>
      </c>
      <c r="C490" s="202"/>
      <c r="D490" s="214" t="s">
        <v>382</v>
      </c>
      <c r="E490" s="872"/>
      <c r="F490" s="192" t="s">
        <v>12</v>
      </c>
      <c r="G490" s="784">
        <f>0.2*8.5+0.2*8+7.9*0.2+1.7*2*0.2+1.5*4*0.2+2.71*2*3*0.2+2.51*2*3*0.2</f>
        <v>13.024000000000001</v>
      </c>
      <c r="H490" s="809"/>
      <c r="I490" s="176">
        <f>G490*H490</f>
        <v>0</v>
      </c>
    </row>
    <row r="491" spans="1:10" ht="12" customHeight="1">
      <c r="A491" s="126"/>
      <c r="E491" s="883"/>
      <c r="G491" s="352"/>
      <c r="H491" s="797"/>
      <c r="I491" s="144"/>
    </row>
    <row r="492" spans="1:10" ht="43.5" customHeight="1">
      <c r="A492" s="126" t="str">
        <f t="shared" si="28"/>
        <v>A1</v>
      </c>
      <c r="B492" s="13">
        <v>12</v>
      </c>
      <c r="C492" s="202" t="s">
        <v>908</v>
      </c>
      <c r="D492" s="239" t="s">
        <v>798</v>
      </c>
      <c r="E492" s="853"/>
      <c r="F492" s="848" t="s">
        <v>514</v>
      </c>
      <c r="G492" s="397">
        <v>35</v>
      </c>
      <c r="H492" s="811"/>
      <c r="I492" s="176">
        <f>G492*H492</f>
        <v>0</v>
      </c>
    </row>
    <row r="493" spans="1:10">
      <c r="A493" s="126"/>
      <c r="C493" s="202"/>
      <c r="D493" s="239"/>
      <c r="E493" s="853"/>
      <c r="G493" s="352"/>
      <c r="H493" s="797"/>
      <c r="I493" s="144"/>
    </row>
    <row r="494" spans="1:10" ht="12" customHeight="1">
      <c r="A494" s="126" t="str">
        <f t="shared" si="28"/>
        <v>A1</v>
      </c>
      <c r="B494" s="13">
        <v>12</v>
      </c>
      <c r="C494" s="131">
        <f>C481</f>
        <v>13</v>
      </c>
      <c r="D494" s="119" t="str">
        <f>D481</f>
        <v>SOBOSLIKARSKI RADOVI</v>
      </c>
      <c r="E494" s="869"/>
      <c r="F494" s="840"/>
      <c r="G494" s="798"/>
      <c r="H494" s="799"/>
      <c r="I494" s="153">
        <f>SUM(I483:I492)</f>
        <v>0</v>
      </c>
    </row>
    <row r="495" spans="1:10" ht="12" customHeight="1">
      <c r="A495" s="126" t="str">
        <f t="shared" si="28"/>
        <v>A1</v>
      </c>
      <c r="C495" s="65"/>
      <c r="D495" s="66"/>
      <c r="E495" s="886"/>
      <c r="G495" s="352"/>
      <c r="H495" s="797"/>
      <c r="I495" s="144"/>
    </row>
    <row r="496" spans="1:10" s="49" customFormat="1" ht="12" customHeight="1">
      <c r="A496" s="126" t="str">
        <f t="shared" si="12"/>
        <v>A1</v>
      </c>
      <c r="B496" s="13"/>
      <c r="C496" s="132"/>
      <c r="D496" s="44"/>
      <c r="E496" s="871"/>
      <c r="F496" s="829"/>
      <c r="G496" s="352"/>
      <c r="H496" s="797"/>
      <c r="I496" s="144"/>
      <c r="J496" s="48"/>
    </row>
    <row r="497" spans="1:10" ht="12" customHeight="1">
      <c r="A497" s="126" t="str">
        <f t="shared" si="12"/>
        <v>A1</v>
      </c>
      <c r="B497" s="13">
        <v>13</v>
      </c>
      <c r="C497" s="125">
        <v>14</v>
      </c>
      <c r="D497" s="120" t="s">
        <v>20</v>
      </c>
      <c r="E497" s="865"/>
      <c r="F497" s="841"/>
      <c r="G497" s="801"/>
      <c r="H497" s="796"/>
      <c r="I497" s="154"/>
    </row>
    <row r="498" spans="1:10" ht="12" customHeight="1">
      <c r="A498" s="126" t="str">
        <f t="shared" ref="A498:A505" si="31">$C$11</f>
        <v>A1</v>
      </c>
      <c r="B498" s="13">
        <v>13</v>
      </c>
      <c r="C498" s="132"/>
      <c r="D498" s="44"/>
      <c r="E498" s="871"/>
      <c r="F498" s="850"/>
      <c r="G498" s="223"/>
      <c r="H498" s="797"/>
      <c r="I498" s="144"/>
    </row>
    <row r="499" spans="1:10" ht="82.5" customHeight="1">
      <c r="A499" s="126" t="str">
        <f t="shared" si="31"/>
        <v>A1</v>
      </c>
      <c r="B499" s="13">
        <v>13</v>
      </c>
      <c r="C499" s="129" t="s">
        <v>762</v>
      </c>
      <c r="D499" s="220" t="s">
        <v>49</v>
      </c>
      <c r="E499" s="903"/>
      <c r="F499" s="222"/>
      <c r="G499" s="223"/>
      <c r="H499" s="797"/>
      <c r="I499" s="144"/>
    </row>
    <row r="500" spans="1:10" ht="12" customHeight="1">
      <c r="A500" s="126" t="str">
        <f t="shared" si="31"/>
        <v>A1</v>
      </c>
      <c r="B500" s="13">
        <v>13</v>
      </c>
      <c r="C500" s="191"/>
      <c r="D500" s="62" t="s">
        <v>98</v>
      </c>
      <c r="E500" s="904"/>
      <c r="F500" s="222" t="s">
        <v>21</v>
      </c>
      <c r="G500" s="223">
        <v>1</v>
      </c>
      <c r="H500" s="797"/>
      <c r="I500" s="367">
        <f>G500*H500</f>
        <v>0</v>
      </c>
    </row>
    <row r="501" spans="1:10" ht="12" customHeight="1">
      <c r="A501" s="126" t="str">
        <f t="shared" si="31"/>
        <v>A1</v>
      </c>
      <c r="B501" s="13">
        <v>13</v>
      </c>
      <c r="C501" s="191"/>
      <c r="D501" s="62"/>
      <c r="E501" s="904"/>
      <c r="F501" s="222"/>
      <c r="G501" s="223"/>
      <c r="H501" s="797"/>
      <c r="I501" s="144"/>
    </row>
    <row r="502" spans="1:10" ht="63.75">
      <c r="A502" s="126" t="str">
        <f t="shared" si="31"/>
        <v>A1</v>
      </c>
      <c r="B502" s="13">
        <v>13</v>
      </c>
      <c r="C502" s="173" t="s">
        <v>763</v>
      </c>
      <c r="D502" s="220" t="s">
        <v>97</v>
      </c>
      <c r="E502" s="903"/>
      <c r="F502" s="351"/>
      <c r="G502" s="819"/>
      <c r="H502" s="811"/>
      <c r="I502" s="922"/>
    </row>
    <row r="503" spans="1:10" ht="12" customHeight="1">
      <c r="A503" s="126" t="str">
        <f t="shared" si="31"/>
        <v>A1</v>
      </c>
      <c r="B503" s="13">
        <v>13</v>
      </c>
      <c r="C503" s="191"/>
      <c r="D503" s="62" t="s">
        <v>99</v>
      </c>
      <c r="E503" s="904"/>
      <c r="F503" s="194" t="s">
        <v>12</v>
      </c>
      <c r="G503" s="812">
        <f>+'MAPA 1-ISKAZ KOLIČINA'!AE16</f>
        <v>225.13</v>
      </c>
      <c r="H503" s="803"/>
      <c r="I503" s="367">
        <f>G503*H503</f>
        <v>0</v>
      </c>
    </row>
    <row r="504" spans="1:10" ht="12" customHeight="1">
      <c r="A504" s="126" t="str">
        <f t="shared" si="31"/>
        <v>A1</v>
      </c>
      <c r="B504" s="13">
        <v>13</v>
      </c>
      <c r="C504" s="132"/>
      <c r="D504" s="62"/>
      <c r="E504" s="904"/>
      <c r="F504" s="222"/>
      <c r="G504" s="223"/>
      <c r="H504" s="797"/>
      <c r="I504" s="144"/>
    </row>
    <row r="505" spans="1:10" ht="12" customHeight="1">
      <c r="A505" s="126" t="str">
        <f t="shared" si="31"/>
        <v>A1</v>
      </c>
      <c r="B505" s="13">
        <v>13</v>
      </c>
      <c r="C505" s="131">
        <f>C497</f>
        <v>14</v>
      </c>
      <c r="D505" s="119" t="str">
        <f>D497</f>
        <v>OSTALO</v>
      </c>
      <c r="E505" s="869"/>
      <c r="F505" s="840" t="s">
        <v>2</v>
      </c>
      <c r="G505" s="798"/>
      <c r="H505" s="799"/>
      <c r="I505" s="153">
        <f>SUM(I498:I504)</f>
        <v>0</v>
      </c>
    </row>
    <row r="506" spans="1:10">
      <c r="A506" s="126" t="str">
        <f t="shared" si="12"/>
        <v>A1</v>
      </c>
      <c r="C506" s="65"/>
      <c r="D506" s="66"/>
      <c r="E506" s="886"/>
      <c r="G506" s="352"/>
      <c r="H506" s="797"/>
      <c r="I506" s="144"/>
    </row>
    <row r="507" spans="1:10" s="83" customFormat="1" ht="20.100000000000001" customHeight="1" thickBot="1">
      <c r="A507" s="124" t="str">
        <f t="shared" si="12"/>
        <v>A1</v>
      </c>
      <c r="B507" s="81"/>
      <c r="C507" s="138"/>
      <c r="D507" s="147" t="s">
        <v>14</v>
      </c>
      <c r="E507" s="905"/>
      <c r="F507" s="851"/>
      <c r="G507" s="813"/>
      <c r="H507" s="814"/>
      <c r="I507" s="139"/>
      <c r="J507" s="140"/>
    </row>
    <row r="508" spans="1:10" s="83" customFormat="1" ht="12" customHeight="1">
      <c r="A508" s="124" t="str">
        <f t="shared" si="12"/>
        <v>A1</v>
      </c>
      <c r="B508" s="81"/>
      <c r="C508" s="141"/>
      <c r="D508" s="142"/>
      <c r="E508" s="906"/>
      <c r="F508" s="843"/>
      <c r="G508" s="815"/>
      <c r="H508" s="797"/>
      <c r="I508" s="144"/>
      <c r="J508" s="140"/>
    </row>
    <row r="509" spans="1:10" s="83" customFormat="1" ht="12" customHeight="1">
      <c r="A509" s="124" t="str">
        <f t="shared" si="12"/>
        <v>A1</v>
      </c>
      <c r="B509" s="81"/>
      <c r="C509" s="67">
        <f>C13</f>
        <v>1</v>
      </c>
      <c r="D509" s="146" t="str">
        <f>D13</f>
        <v>DEMONTAŽE, RUŠENJA I PRIPREMNI RADOVI</v>
      </c>
      <c r="E509" s="907"/>
      <c r="F509" s="847"/>
      <c r="G509" s="815"/>
      <c r="H509" s="789"/>
      <c r="I509" s="145">
        <f>I107</f>
        <v>0</v>
      </c>
      <c r="J509" s="140"/>
    </row>
    <row r="510" spans="1:10" s="83" customFormat="1" ht="12" customHeight="1">
      <c r="A510" s="124" t="str">
        <f t="shared" si="12"/>
        <v>A1</v>
      </c>
      <c r="B510" s="81"/>
      <c r="C510" s="67">
        <f>C110</f>
        <v>2</v>
      </c>
      <c r="D510" s="146" t="str">
        <f>D110</f>
        <v>ZEMLJANI RADOVI</v>
      </c>
      <c r="E510" s="907"/>
      <c r="F510" s="847"/>
      <c r="G510" s="815"/>
      <c r="H510" s="789"/>
      <c r="I510" s="145">
        <f>I121</f>
        <v>0</v>
      </c>
      <c r="J510" s="140"/>
    </row>
    <row r="511" spans="1:10" s="83" customFormat="1" ht="12" customHeight="1">
      <c r="A511" s="124" t="str">
        <f t="shared" si="12"/>
        <v>A1</v>
      </c>
      <c r="B511" s="81"/>
      <c r="C511" s="67">
        <f>C124</f>
        <v>3</v>
      </c>
      <c r="D511" s="146" t="str">
        <f>D124</f>
        <v>BETONSKI I ARMIRANOBETONSKI RADOVI</v>
      </c>
      <c r="E511" s="907"/>
      <c r="F511" s="847"/>
      <c r="G511" s="815"/>
      <c r="H511" s="789"/>
      <c r="I511" s="145">
        <f>I132</f>
        <v>0</v>
      </c>
      <c r="J511" s="140"/>
    </row>
    <row r="512" spans="1:10" s="83" customFormat="1" ht="12" customHeight="1">
      <c r="A512" s="124" t="str">
        <f t="shared" si="12"/>
        <v>A1</v>
      </c>
      <c r="B512" s="81"/>
      <c r="C512" s="67">
        <f>C135</f>
        <v>4</v>
      </c>
      <c r="D512" s="146" t="str">
        <f>D135</f>
        <v>ZIDARSKI RADOVI</v>
      </c>
      <c r="E512" s="907"/>
      <c r="F512" s="847"/>
      <c r="G512" s="815"/>
      <c r="H512" s="789"/>
      <c r="I512" s="145">
        <f>I184</f>
        <v>0</v>
      </c>
      <c r="J512" s="140"/>
    </row>
    <row r="513" spans="1:10" s="83" customFormat="1" ht="12" customHeight="1">
      <c r="A513" s="124" t="str">
        <f t="shared" si="12"/>
        <v>A1</v>
      </c>
      <c r="B513" s="81"/>
      <c r="C513" s="67">
        <f>C187</f>
        <v>5</v>
      </c>
      <c r="D513" s="168" t="str">
        <f>D187</f>
        <v>IZOLATERSKI RADOVI</v>
      </c>
      <c r="E513" s="908"/>
      <c r="F513" s="847"/>
      <c r="G513" s="815"/>
      <c r="H513" s="789"/>
      <c r="I513" s="145">
        <f>I207</f>
        <v>0</v>
      </c>
      <c r="J513" s="140"/>
    </row>
    <row r="514" spans="1:10" s="83" customFormat="1" ht="12" customHeight="1">
      <c r="A514" s="124" t="str">
        <f t="shared" si="12"/>
        <v>A1</v>
      </c>
      <c r="B514" s="81"/>
      <c r="C514" s="67">
        <f>C210</f>
        <v>6</v>
      </c>
      <c r="D514" s="210" t="str">
        <f>D210</f>
        <v>FASADERSKI RADOVI</v>
      </c>
      <c r="E514" s="909"/>
      <c r="F514" s="847"/>
      <c r="G514" s="815"/>
      <c r="H514" s="789"/>
      <c r="I514" s="145">
        <f>I234</f>
        <v>0</v>
      </c>
      <c r="J514" s="140"/>
    </row>
    <row r="515" spans="1:10" s="83" customFormat="1" ht="12" customHeight="1">
      <c r="A515" s="124" t="str">
        <f t="shared" si="12"/>
        <v>A1</v>
      </c>
      <c r="B515" s="81"/>
      <c r="C515" s="67">
        <f>C249</f>
        <v>7</v>
      </c>
      <c r="D515" s="210" t="str">
        <f>D249</f>
        <v>KROVOPOKRIVAČKI RADOVI</v>
      </c>
      <c r="E515" s="909"/>
      <c r="F515" s="847"/>
      <c r="G515" s="815"/>
      <c r="H515" s="789"/>
      <c r="I515" s="145">
        <f>I249</f>
        <v>0</v>
      </c>
      <c r="J515" s="140"/>
    </row>
    <row r="516" spans="1:10" s="83" customFormat="1" ht="12" customHeight="1">
      <c r="A516" s="124" t="str">
        <f t="shared" si="12"/>
        <v>A1</v>
      </c>
      <c r="B516" s="81"/>
      <c r="C516" s="67">
        <v>8</v>
      </c>
      <c r="D516" s="219" t="s">
        <v>387</v>
      </c>
      <c r="E516" s="908"/>
      <c r="F516" s="847"/>
      <c r="G516" s="815"/>
      <c r="H516" s="789"/>
      <c r="I516" s="145">
        <f>I281</f>
        <v>0</v>
      </c>
      <c r="J516" s="140"/>
    </row>
    <row r="517" spans="1:10" s="83" customFormat="1" ht="12" customHeight="1">
      <c r="A517" s="124" t="str">
        <f t="shared" si="12"/>
        <v>A1</v>
      </c>
      <c r="B517" s="81"/>
      <c r="C517" s="67">
        <f>C284</f>
        <v>9</v>
      </c>
      <c r="D517" s="168" t="str">
        <f>D284</f>
        <v>STOLARSKI RADOVI</v>
      </c>
      <c r="E517" s="908"/>
      <c r="F517" s="847"/>
      <c r="G517" s="815"/>
      <c r="H517" s="789"/>
      <c r="I517" s="145">
        <f>I392</f>
        <v>0</v>
      </c>
      <c r="J517" s="140"/>
    </row>
    <row r="518" spans="1:10" s="83" customFormat="1" ht="12" customHeight="1">
      <c r="A518" s="124" t="str">
        <f t="shared" si="12"/>
        <v>A1</v>
      </c>
      <c r="B518" s="81"/>
      <c r="C518" s="67">
        <f>C408</f>
        <v>10</v>
      </c>
      <c r="D518" s="168" t="str">
        <f>D408</f>
        <v>KAMENARSKI RADOVI</v>
      </c>
      <c r="E518" s="908"/>
      <c r="F518" s="847"/>
      <c r="G518" s="815"/>
      <c r="H518" s="789"/>
      <c r="I518" s="145">
        <f>I408</f>
        <v>0</v>
      </c>
      <c r="J518" s="140"/>
    </row>
    <row r="519" spans="1:10" s="83" customFormat="1" ht="12" customHeight="1">
      <c r="A519" s="124" t="str">
        <f t="shared" si="12"/>
        <v>A1</v>
      </c>
      <c r="B519" s="81"/>
      <c r="C519" s="67">
        <f>C411</f>
        <v>11</v>
      </c>
      <c r="D519" s="168" t="str">
        <f>D411</f>
        <v>KERAMIČARSKI RADOVI</v>
      </c>
      <c r="E519" s="908"/>
      <c r="F519" s="847"/>
      <c r="G519" s="815"/>
      <c r="H519" s="789"/>
      <c r="I519" s="145">
        <f>I462</f>
        <v>0</v>
      </c>
      <c r="J519" s="140"/>
    </row>
    <row r="520" spans="1:10" s="83" customFormat="1" ht="12" customHeight="1">
      <c r="A520" s="124"/>
      <c r="B520" s="81"/>
      <c r="C520" s="67">
        <f>C464</f>
        <v>12</v>
      </c>
      <c r="D520" s="210" t="str">
        <f>D464</f>
        <v>LIMARSKI I STOLARSKI RADOVI - ODVODNJA OBORINSKIH VODA</v>
      </c>
      <c r="E520" s="909"/>
      <c r="F520" s="847"/>
      <c r="G520" s="815"/>
      <c r="H520" s="789"/>
      <c r="I520" s="145">
        <f>I478</f>
        <v>0</v>
      </c>
      <c r="J520" s="140"/>
    </row>
    <row r="521" spans="1:10" s="83" customFormat="1" ht="12" customHeight="1">
      <c r="A521" s="124" t="str">
        <f t="shared" si="12"/>
        <v>A1</v>
      </c>
      <c r="B521" s="81"/>
      <c r="C521" s="67">
        <f>C494</f>
        <v>13</v>
      </c>
      <c r="D521" s="168" t="str">
        <f>D494</f>
        <v>SOBOSLIKARSKI RADOVI</v>
      </c>
      <c r="E521" s="908"/>
      <c r="F521" s="847"/>
      <c r="G521" s="815"/>
      <c r="H521" s="789"/>
      <c r="I521" s="145">
        <f>I494</f>
        <v>0</v>
      </c>
      <c r="J521" s="140"/>
    </row>
    <row r="522" spans="1:10" s="83" customFormat="1" ht="12" customHeight="1">
      <c r="A522" s="124" t="str">
        <f t="shared" si="12"/>
        <v>A1</v>
      </c>
      <c r="B522" s="81"/>
      <c r="C522" s="67">
        <f>C505</f>
        <v>14</v>
      </c>
      <c r="D522" s="146" t="str">
        <f>D505</f>
        <v>OSTALO</v>
      </c>
      <c r="E522" s="907"/>
      <c r="F522" s="847"/>
      <c r="G522" s="815"/>
      <c r="H522" s="789"/>
      <c r="I522" s="145">
        <f>I505</f>
        <v>0</v>
      </c>
      <c r="J522" s="140"/>
    </row>
    <row r="523" spans="1:10" s="83" customFormat="1" ht="12" customHeight="1">
      <c r="A523" s="124" t="str">
        <f t="shared" si="12"/>
        <v>A1</v>
      </c>
      <c r="B523" s="81"/>
      <c r="C523" s="141"/>
      <c r="D523" s="111"/>
      <c r="E523" s="910"/>
      <c r="F523" s="847"/>
      <c r="G523" s="804"/>
      <c r="H523" s="789"/>
      <c r="I523" s="145"/>
      <c r="J523" s="140"/>
    </row>
    <row r="524" spans="1:10" s="83" customFormat="1" ht="20.100000000000001" customHeight="1">
      <c r="A524" s="124" t="str">
        <f t="shared" si="12"/>
        <v>A1</v>
      </c>
      <c r="B524" s="81"/>
      <c r="C524" s="127" t="str">
        <f>C11</f>
        <v>A1</v>
      </c>
      <c r="D524" s="114" t="str">
        <f>D11</f>
        <v>GRAĐEVINSKO OBRTNIČKI RADOVI - ZGRADA 1</v>
      </c>
      <c r="E524" s="911"/>
      <c r="F524" s="852" t="s">
        <v>2</v>
      </c>
      <c r="G524" s="816"/>
      <c r="H524" s="817"/>
      <c r="I524" s="148">
        <f>SUM(I509:I523)</f>
        <v>0</v>
      </c>
      <c r="J524" s="140"/>
    </row>
    <row r="525" spans="1:10">
      <c r="A525" s="126" t="str">
        <f t="shared" si="12"/>
        <v>A1</v>
      </c>
      <c r="C525" s="136"/>
      <c r="D525" s="137"/>
      <c r="E525" s="912"/>
      <c r="F525" s="839"/>
      <c r="G525" s="795"/>
      <c r="H525" s="796"/>
      <c r="I525" s="154"/>
      <c r="J525" s="15"/>
    </row>
  </sheetData>
  <sheetProtection password="CB29" sheet="1" formatCells="0" formatColumns="0" formatRows="0" insertColumns="0" insertRows="0" insertHyperlinks="0" deleteColumns="0" deleteRows="0" sort="0" autoFilter="0" pivotTables="0"/>
  <protectedRanges>
    <protectedRange sqref="G149:G151" name="Range1_2"/>
    <protectedRange sqref="H363:H366 H368 H370:H374" name="Range1_3"/>
    <protectedRange sqref="H429:H461" name="Range1_1_1"/>
    <protectedRange sqref="H483:H487 H490" name="Range1_5"/>
    <protectedRange sqref="H369" name="Range1_3_1"/>
    <protectedRange sqref="H470 H476" name="Range1_1_1_2"/>
  </protectedRanges>
  <mergeCells count="6">
    <mergeCell ref="F1:G1"/>
    <mergeCell ref="D15:F15"/>
    <mergeCell ref="D16:I16"/>
    <mergeCell ref="F5:G5"/>
    <mergeCell ref="F3:G3"/>
    <mergeCell ref="F2:G2"/>
  </mergeCells>
  <conditionalFormatting sqref="I363 I365:I366 I368:I369 I371:I374">
    <cfRule type="cellIs" dxfId="14" priority="78" stopIfTrue="1" operator="equal">
      <formula>0</formula>
    </cfRule>
  </conditionalFormatting>
  <conditionalFormatting sqref="H391 H363:H374 H262:H263 H265:H266 H268:H280">
    <cfRule type="cellIs" dxfId="13" priority="77" stopIfTrue="1" operator="equal">
      <formula>0</formula>
    </cfRule>
  </conditionalFormatting>
  <pageMargins left="0.82677165354330717" right="0.19685039370078741" top="0.19685039370078741" bottom="0.39370078740157483" header="0.11811023622047245" footer="0.11811023622047245"/>
  <pageSetup paperSize="9" scale="82" fitToHeight="58" orientation="portrait" r:id="rId1"/>
  <rowBreaks count="12" manualBreakCount="12">
    <brk id="107" min="2" max="7" man="1"/>
    <brk id="199" min="2" max="7" man="1"/>
    <brk id="234" min="2" max="7" man="1"/>
    <brk id="251" min="2" max="7" man="1"/>
    <brk id="281" min="2" max="7" man="1"/>
    <brk id="320" min="2" max="7" man="1"/>
    <brk id="353" min="2" max="7" man="1"/>
    <brk id="393" min="2" max="7" man="1"/>
    <brk id="410" min="2" max="7" man="1"/>
    <brk id="463" min="2" max="7" man="1"/>
    <brk id="480" min="2" max="7" man="1"/>
    <brk id="505" min="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542"/>
  <sheetViews>
    <sheetView tabSelected="1" view="pageBreakPreview" topLeftCell="A31" zoomScale="115" zoomScaleNormal="100" zoomScaleSheetLayoutView="115" workbookViewId="0">
      <selection activeCell="I20" sqref="I20"/>
    </sheetView>
  </sheetViews>
  <sheetFormatPr defaultColWidth="2.42578125" defaultRowHeight="12.75"/>
  <cols>
    <col min="1" max="1" width="3.85546875" style="13" customWidth="1"/>
    <col min="2" max="2" width="4" style="13" bestFit="1" customWidth="1"/>
    <col min="3" max="3" width="6.140625" style="63" customWidth="1"/>
    <col min="4" max="4" width="47.7109375" style="64" customWidth="1"/>
    <col min="5" max="5" width="13.5703125" style="64" customWidth="1"/>
    <col min="6" max="6" width="9.7109375" style="38" customWidth="1"/>
    <col min="7" max="7" width="9.7109375" style="352" customWidth="1"/>
    <col min="8" max="8" width="9.7109375" style="811" customWidth="1"/>
    <col min="9" max="9" width="12.28515625" style="41" customWidth="1"/>
    <col min="10" max="10" width="28.42578125" style="42" customWidth="1"/>
    <col min="11" max="11" width="9.5703125" style="15" customWidth="1"/>
    <col min="12" max="20" width="9.140625" style="15" customWidth="1"/>
    <col min="21" max="16384" width="2.42578125" style="15"/>
  </cols>
  <sheetData>
    <row r="1" spans="1:10">
      <c r="C1" s="369"/>
      <c r="D1" s="244" t="str">
        <f>+'MAPA 1-OPĆI UVJETI'!D1</f>
        <v>GRAĐEVINA</v>
      </c>
      <c r="E1" s="244"/>
      <c r="F1" s="1257" t="s">
        <v>461</v>
      </c>
      <c r="G1" s="1257"/>
      <c r="H1" s="939" t="str">
        <f>+'MAPA 1-OPĆI UVJETI'!G1</f>
        <v>BR. PROJEKTA</v>
      </c>
      <c r="I1" s="927" t="str">
        <f>'MAPA 1-OPĆI UVJETI'!H1</f>
        <v>04/16</v>
      </c>
      <c r="J1" s="2"/>
    </row>
    <row r="2" spans="1:10">
      <c r="C2" s="369"/>
      <c r="D2" s="244" t="str">
        <f>+'MAPA 1-OPĆI UVJETI'!D2</f>
        <v>NARUČITELJ</v>
      </c>
      <c r="E2" s="244"/>
      <c r="F2" s="1257" t="s">
        <v>430</v>
      </c>
      <c r="G2" s="1258"/>
      <c r="H2" s="939" t="str">
        <f>+'MAPA 1-OPĆI UVJETI'!G2</f>
        <v>ZOP</v>
      </c>
      <c r="I2" s="927" t="str">
        <f>'MAPA 1-OPĆI UVJETI'!H2</f>
        <v>NPPJ-1</v>
      </c>
      <c r="J2" s="5"/>
    </row>
    <row r="3" spans="1:10">
      <c r="C3" s="369"/>
      <c r="D3" s="244" t="str">
        <f>+'MAPA 1-OPĆI UVJETI'!D3</f>
        <v>FAZA PROJEKTA</v>
      </c>
      <c r="E3" s="244"/>
      <c r="F3" s="1258" t="s">
        <v>1004</v>
      </c>
      <c r="G3" s="1258"/>
      <c r="H3" s="939" t="str">
        <f>+'MAPA 1-OPĆI UVJETI'!G3</f>
        <v>DATUM</v>
      </c>
      <c r="I3" s="928" t="str">
        <f>'MAPA 1-OPĆI UVJETI'!H3</f>
        <v>kolovoz 2016.</v>
      </c>
      <c r="J3" s="3"/>
    </row>
    <row r="4" spans="1:10">
      <c r="C4" s="370"/>
      <c r="D4" s="371"/>
      <c r="E4" s="371"/>
      <c r="F4" s="4" t="s">
        <v>904</v>
      </c>
      <c r="G4" s="940"/>
      <c r="H4" s="940"/>
      <c r="I4" s="929"/>
      <c r="J4" s="5"/>
    </row>
    <row r="5" spans="1:10">
      <c r="C5" s="369"/>
      <c r="D5" s="240"/>
      <c r="E5" s="240"/>
      <c r="F5" s="1264"/>
      <c r="G5" s="1264"/>
      <c r="H5" s="941"/>
      <c r="I5" s="930"/>
      <c r="J5" s="3"/>
    </row>
    <row r="6" spans="1:10">
      <c r="C6" s="369"/>
      <c r="D6" s="252" t="s">
        <v>971</v>
      </c>
      <c r="E6" s="252"/>
      <c r="F6" s="253"/>
      <c r="G6" s="942"/>
      <c r="H6" s="941"/>
      <c r="I6" s="930"/>
      <c r="J6" s="1"/>
    </row>
    <row r="7" spans="1:10" s="20" customFormat="1" ht="15.75" thickBot="1">
      <c r="A7" s="18"/>
      <c r="B7" s="19"/>
      <c r="C7" s="372"/>
      <c r="D7" s="8"/>
      <c r="E7" s="8"/>
      <c r="F7" s="9"/>
      <c r="G7" s="943"/>
      <c r="H7" s="944"/>
      <c r="I7" s="11"/>
      <c r="J7" s="12"/>
    </row>
    <row r="8" spans="1:10" s="21" customFormat="1" ht="26.25" thickBot="1">
      <c r="A8" s="18"/>
      <c r="B8" s="18"/>
      <c r="C8" s="717" t="s">
        <v>13</v>
      </c>
      <c r="D8" s="718" t="s">
        <v>9</v>
      </c>
      <c r="E8" s="719" t="s">
        <v>1841</v>
      </c>
      <c r="F8" s="714" t="s">
        <v>15</v>
      </c>
      <c r="G8" s="715" t="s">
        <v>10</v>
      </c>
      <c r="H8" s="715" t="s">
        <v>16</v>
      </c>
      <c r="I8" s="716" t="s">
        <v>17</v>
      </c>
      <c r="J8" s="108"/>
    </row>
    <row r="9" spans="1:10" s="27" customFormat="1">
      <c r="A9" s="18"/>
      <c r="B9" s="18"/>
      <c r="C9" s="373"/>
      <c r="D9" s="112" t="s">
        <v>36</v>
      </c>
      <c r="E9" s="112"/>
      <c r="F9" s="23"/>
      <c r="G9" s="74"/>
      <c r="H9" s="75"/>
      <c r="I9" s="25"/>
      <c r="J9" s="26"/>
    </row>
    <row r="10" spans="1:10" s="34" customFormat="1" ht="15.75">
      <c r="A10" s="18"/>
      <c r="B10" s="18"/>
      <c r="C10" s="374"/>
      <c r="D10" s="375"/>
      <c r="E10" s="375"/>
      <c r="F10" s="30"/>
      <c r="G10" s="945"/>
      <c r="H10" s="946"/>
      <c r="I10" s="32"/>
      <c r="J10" s="33"/>
    </row>
    <row r="11" spans="1:10" s="83" customFormat="1" ht="15.75">
      <c r="A11" s="126"/>
      <c r="B11" s="13"/>
      <c r="C11" s="376" t="s">
        <v>717</v>
      </c>
      <c r="D11" s="377" t="s">
        <v>1796</v>
      </c>
      <c r="E11" s="377"/>
      <c r="F11" s="115"/>
      <c r="G11" s="947"/>
      <c r="H11" s="817"/>
      <c r="I11" s="118"/>
      <c r="J11" s="37"/>
    </row>
    <row r="12" spans="1:10" ht="15.75">
      <c r="A12" s="126"/>
      <c r="C12" s="378"/>
      <c r="D12" s="36"/>
      <c r="E12" s="36"/>
    </row>
    <row r="13" spans="1:10" s="49" customFormat="1">
      <c r="A13" s="126" t="str">
        <f t="shared" ref="A13:A129" si="0">$C$11</f>
        <v>A2</v>
      </c>
      <c r="B13" s="13">
        <f>$C$13</f>
        <v>1</v>
      </c>
      <c r="C13" s="125">
        <v>1</v>
      </c>
      <c r="D13" s="120" t="s">
        <v>3</v>
      </c>
      <c r="E13" s="120"/>
      <c r="F13" s="121"/>
      <c r="G13" s="948"/>
      <c r="H13" s="796"/>
      <c r="I13" s="123"/>
      <c r="J13" s="48"/>
    </row>
    <row r="14" spans="1:10" s="49" customFormat="1">
      <c r="A14" s="126" t="str">
        <f t="shared" si="0"/>
        <v>A2</v>
      </c>
      <c r="B14" s="13">
        <f t="shared" ref="B14:B87" si="1">$C$13</f>
        <v>1</v>
      </c>
      <c r="C14" s="379"/>
      <c r="D14" s="50"/>
      <c r="E14" s="50"/>
      <c r="F14" s="45"/>
      <c r="G14" s="949"/>
      <c r="H14" s="797"/>
      <c r="I14" s="144"/>
      <c r="J14" s="48"/>
    </row>
    <row r="15" spans="1:10" s="53" customFormat="1" ht="15">
      <c r="A15" s="126" t="str">
        <f t="shared" si="0"/>
        <v>A2</v>
      </c>
      <c r="B15" s="13">
        <f t="shared" si="1"/>
        <v>1</v>
      </c>
      <c r="C15" s="169"/>
      <c r="D15" s="1262" t="s">
        <v>52</v>
      </c>
      <c r="E15" s="1262"/>
      <c r="F15" s="1262"/>
      <c r="G15" s="822"/>
      <c r="H15" s="822"/>
      <c r="I15" s="329"/>
      <c r="J15" s="55"/>
    </row>
    <row r="16" spans="1:10" s="53" customFormat="1" ht="15">
      <c r="A16" s="126" t="str">
        <f t="shared" si="0"/>
        <v>A2</v>
      </c>
      <c r="B16" s="13">
        <f t="shared" si="1"/>
        <v>1</v>
      </c>
      <c r="C16" s="169"/>
      <c r="D16" s="1263" t="s">
        <v>817</v>
      </c>
      <c r="E16" s="1263"/>
      <c r="F16" s="1263"/>
      <c r="G16" s="1263"/>
      <c r="H16" s="1263"/>
      <c r="I16" s="1263"/>
      <c r="J16" s="55"/>
    </row>
    <row r="17" spans="1:10" s="53" customFormat="1" ht="15">
      <c r="A17" s="126" t="str">
        <f t="shared" si="0"/>
        <v>A2</v>
      </c>
      <c r="B17" s="13">
        <f t="shared" si="1"/>
        <v>1</v>
      </c>
      <c r="C17" s="169"/>
      <c r="D17" s="171"/>
      <c r="E17" s="952"/>
      <c r="F17" s="171"/>
      <c r="G17" s="950"/>
      <c r="H17" s="950"/>
      <c r="I17" s="931"/>
      <c r="J17" s="52"/>
    </row>
    <row r="18" spans="1:10" s="53" customFormat="1" ht="15">
      <c r="A18" s="126" t="str">
        <f t="shared" si="0"/>
        <v>A2</v>
      </c>
      <c r="B18" s="13">
        <f t="shared" si="1"/>
        <v>1</v>
      </c>
      <c r="C18" s="169"/>
      <c r="D18" s="380"/>
      <c r="E18" s="953"/>
      <c r="F18" s="182"/>
      <c r="G18" s="818"/>
      <c r="H18" s="818"/>
      <c r="I18" s="932"/>
      <c r="J18" s="52"/>
    </row>
    <row r="19" spans="1:10" s="53" customFormat="1" ht="38.25">
      <c r="A19" s="126" t="str">
        <f t="shared" si="0"/>
        <v>A2</v>
      </c>
      <c r="B19" s="13">
        <f t="shared" si="1"/>
        <v>1</v>
      </c>
      <c r="C19" s="354" t="s">
        <v>53</v>
      </c>
      <c r="D19" s="239" t="s">
        <v>463</v>
      </c>
      <c r="E19" s="853"/>
      <c r="F19" s="192"/>
      <c r="G19" s="784"/>
      <c r="H19" s="809"/>
      <c r="I19" s="176"/>
      <c r="J19" s="55"/>
    </row>
    <row r="20" spans="1:10" s="53" customFormat="1">
      <c r="A20" s="126"/>
      <c r="B20" s="13"/>
      <c r="C20" s="354"/>
      <c r="D20" s="239" t="s">
        <v>464</v>
      </c>
      <c r="E20" s="853"/>
      <c r="F20" s="192" t="s">
        <v>12</v>
      </c>
      <c r="G20" s="784">
        <f>+'MAPA 1-ISKAZ KOLIČINA'!R31</f>
        <v>246.86529999999999</v>
      </c>
      <c r="H20" s="809"/>
      <c r="I20" s="728">
        <f>G20*H20</f>
        <v>0</v>
      </c>
      <c r="J20" s="55"/>
    </row>
    <row r="21" spans="1:10" s="53" customFormat="1">
      <c r="A21" s="126"/>
      <c r="B21" s="13"/>
      <c r="C21" s="354"/>
      <c r="D21" s="239"/>
      <c r="E21" s="853"/>
      <c r="F21" s="192"/>
      <c r="G21" s="784"/>
      <c r="H21" s="809"/>
      <c r="I21" s="176"/>
      <c r="J21" s="55"/>
    </row>
    <row r="22" spans="1:10" s="53" customFormat="1" ht="25.5">
      <c r="A22" s="126"/>
      <c r="B22" s="13"/>
      <c r="C22" s="354" t="s">
        <v>54</v>
      </c>
      <c r="D22" s="239" t="s">
        <v>807</v>
      </c>
      <c r="E22" s="853"/>
      <c r="F22" s="192"/>
      <c r="G22" s="784"/>
      <c r="H22" s="809"/>
      <c r="I22" s="176"/>
      <c r="J22" s="55"/>
    </row>
    <row r="23" spans="1:10" s="53" customFormat="1">
      <c r="A23" s="126"/>
      <c r="B23" s="13"/>
      <c r="C23" s="354"/>
      <c r="D23" s="239" t="s">
        <v>492</v>
      </c>
      <c r="E23" s="853"/>
      <c r="F23" s="192" t="s">
        <v>12</v>
      </c>
      <c r="G23" s="784">
        <v>447.73</v>
      </c>
      <c r="H23" s="809"/>
      <c r="I23" s="728">
        <f>G23*H23</f>
        <v>0</v>
      </c>
      <c r="J23" s="55"/>
    </row>
    <row r="24" spans="1:10" s="53" customFormat="1">
      <c r="A24" s="126"/>
      <c r="B24" s="13"/>
      <c r="C24" s="354"/>
      <c r="D24" s="239"/>
      <c r="E24" s="853"/>
      <c r="F24" s="192"/>
      <c r="G24" s="784"/>
      <c r="H24" s="809"/>
      <c r="I24" s="176"/>
      <c r="J24" s="55"/>
    </row>
    <row r="25" spans="1:10" s="53" customFormat="1" ht="25.5">
      <c r="A25" s="126"/>
      <c r="B25" s="13"/>
      <c r="C25" s="354" t="s">
        <v>55</v>
      </c>
      <c r="D25" s="239" t="s">
        <v>988</v>
      </c>
      <c r="E25" s="853"/>
      <c r="F25" s="192"/>
      <c r="G25" s="784"/>
      <c r="H25" s="809"/>
      <c r="I25" s="176"/>
      <c r="J25" s="55"/>
    </row>
    <row r="26" spans="1:10" s="53" customFormat="1">
      <c r="A26" s="126"/>
      <c r="B26" s="13"/>
      <c r="C26" s="354"/>
      <c r="D26" s="239" t="s">
        <v>474</v>
      </c>
      <c r="E26" s="853"/>
      <c r="F26" s="192" t="s">
        <v>8</v>
      </c>
      <c r="G26" s="784">
        <f>+'MAPA 1-ISKAZ KOLIČINA'!AA31</f>
        <v>8.6</v>
      </c>
      <c r="H26" s="809"/>
      <c r="I26" s="728">
        <f>G26*H26</f>
        <v>0</v>
      </c>
      <c r="J26" s="55"/>
    </row>
    <row r="27" spans="1:10" s="53" customFormat="1">
      <c r="A27" s="126"/>
      <c r="B27" s="13"/>
      <c r="C27" s="354"/>
      <c r="D27" s="239"/>
      <c r="E27" s="853"/>
      <c r="F27" s="192"/>
      <c r="G27" s="784"/>
      <c r="H27" s="809"/>
      <c r="I27" s="176"/>
      <c r="J27" s="55"/>
    </row>
    <row r="28" spans="1:10" s="53" customFormat="1" ht="25.5">
      <c r="A28" s="126"/>
      <c r="B28" s="13"/>
      <c r="C28" s="354" t="s">
        <v>465</v>
      </c>
      <c r="D28" s="239" t="s">
        <v>620</v>
      </c>
      <c r="E28" s="853"/>
      <c r="F28" s="192"/>
      <c r="G28" s="784"/>
      <c r="H28" s="809"/>
      <c r="I28" s="176"/>
      <c r="J28" s="55"/>
    </row>
    <row r="29" spans="1:10" s="53" customFormat="1">
      <c r="A29" s="126"/>
      <c r="B29" s="13"/>
      <c r="C29" s="354"/>
      <c r="D29" s="239" t="s">
        <v>621</v>
      </c>
      <c r="E29" s="853"/>
      <c r="F29" s="192" t="s">
        <v>12</v>
      </c>
      <c r="G29" s="784">
        <f>G181-93</f>
        <v>80.180000000000007</v>
      </c>
      <c r="H29" s="809"/>
      <c r="I29" s="728">
        <f>G29*H29</f>
        <v>0</v>
      </c>
      <c r="J29" s="55"/>
    </row>
    <row r="30" spans="1:10" s="53" customFormat="1">
      <c r="A30" s="126"/>
      <c r="B30" s="13"/>
      <c r="C30" s="354"/>
      <c r="D30" s="239"/>
      <c r="E30" s="853"/>
      <c r="F30" s="192"/>
      <c r="G30" s="784"/>
      <c r="H30" s="809"/>
      <c r="I30" s="176"/>
      <c r="J30" s="55"/>
    </row>
    <row r="31" spans="1:10" s="53" customFormat="1" ht="25.5">
      <c r="A31" s="126"/>
      <c r="B31" s="13"/>
      <c r="C31" s="354" t="s">
        <v>493</v>
      </c>
      <c r="D31" s="239" t="s">
        <v>747</v>
      </c>
      <c r="E31" s="853"/>
      <c r="F31" s="192"/>
      <c r="G31" s="784"/>
      <c r="H31" s="809"/>
      <c r="I31" s="176"/>
      <c r="J31" s="55"/>
    </row>
    <row r="32" spans="1:10" s="53" customFormat="1">
      <c r="A32" s="126"/>
      <c r="B32" s="13"/>
      <c r="C32" s="354"/>
      <c r="D32" s="239" t="s">
        <v>621</v>
      </c>
      <c r="E32" s="853"/>
      <c r="F32" s="192" t="s">
        <v>12</v>
      </c>
      <c r="G32" s="784">
        <f>+'MAPA 1-ISKAZ KOLIČINA'!M31</f>
        <v>76.209999999999994</v>
      </c>
      <c r="H32" s="809"/>
      <c r="I32" s="728">
        <f>G32*H32</f>
        <v>0</v>
      </c>
      <c r="J32" s="55"/>
    </row>
    <row r="33" spans="1:10" s="53" customFormat="1">
      <c r="A33" s="126"/>
      <c r="B33" s="13"/>
      <c r="C33" s="354"/>
      <c r="D33" s="239"/>
      <c r="E33" s="853"/>
      <c r="F33" s="192"/>
      <c r="G33" s="784"/>
      <c r="H33" s="809"/>
      <c r="I33" s="176"/>
      <c r="J33" s="55"/>
    </row>
    <row r="34" spans="1:10" s="53" customFormat="1">
      <c r="A34" s="126"/>
      <c r="B34" s="13"/>
      <c r="C34" s="354" t="s">
        <v>494</v>
      </c>
      <c r="D34" s="239" t="s">
        <v>624</v>
      </c>
      <c r="E34" s="853"/>
      <c r="F34" s="192"/>
      <c r="G34" s="784"/>
      <c r="H34" s="809"/>
      <c r="I34" s="176"/>
      <c r="J34" s="55"/>
    </row>
    <row r="35" spans="1:10" s="53" customFormat="1">
      <c r="A35" s="126"/>
      <c r="B35" s="13"/>
      <c r="C35" s="354"/>
      <c r="D35" s="239" t="s">
        <v>626</v>
      </c>
      <c r="E35" s="853"/>
      <c r="F35" s="192" t="s">
        <v>8</v>
      </c>
      <c r="G35" s="784">
        <f>+'MAPA 1-ISKAZ KOLIČINA'!K31</f>
        <v>85.31</v>
      </c>
      <c r="H35" s="809"/>
      <c r="I35" s="728">
        <f>G35*H35</f>
        <v>0</v>
      </c>
      <c r="J35" s="55"/>
    </row>
    <row r="36" spans="1:10" s="53" customFormat="1">
      <c r="A36" s="126"/>
      <c r="B36" s="13"/>
      <c r="C36" s="354"/>
      <c r="D36" s="239"/>
      <c r="E36" s="853"/>
      <c r="F36" s="192"/>
      <c r="G36" s="784"/>
      <c r="H36" s="809"/>
      <c r="I36" s="176"/>
      <c r="J36" s="55"/>
    </row>
    <row r="37" spans="1:10" s="53" customFormat="1" ht="25.5">
      <c r="A37" s="126"/>
      <c r="B37" s="13"/>
      <c r="C37" s="354" t="s">
        <v>622</v>
      </c>
      <c r="D37" s="239" t="s">
        <v>910</v>
      </c>
      <c r="E37" s="853"/>
      <c r="F37" s="192"/>
      <c r="G37" s="784"/>
      <c r="H37" s="809"/>
      <c r="I37" s="176"/>
      <c r="J37" s="55"/>
    </row>
    <row r="38" spans="1:10" s="53" customFormat="1">
      <c r="A38" s="126"/>
      <c r="B38" s="13"/>
      <c r="C38" s="354"/>
      <c r="D38" s="239" t="s">
        <v>621</v>
      </c>
      <c r="E38" s="853"/>
      <c r="F38" s="192" t="s">
        <v>12</v>
      </c>
      <c r="G38" s="784">
        <f>+'MAPA 1-ISKAZ KOLIČINA'!N31</f>
        <v>20.995999999999999</v>
      </c>
      <c r="H38" s="809"/>
      <c r="I38" s="728">
        <f>G38*H38</f>
        <v>0</v>
      </c>
      <c r="J38" s="55"/>
    </row>
    <row r="39" spans="1:10" s="53" customFormat="1">
      <c r="A39" s="126"/>
      <c r="B39" s="13"/>
      <c r="C39" s="354"/>
      <c r="D39" s="239"/>
      <c r="E39" s="853"/>
      <c r="F39" s="192"/>
      <c r="G39" s="784"/>
      <c r="H39" s="809"/>
      <c r="I39" s="176"/>
      <c r="J39" s="55"/>
    </row>
    <row r="40" spans="1:10" s="53" customFormat="1">
      <c r="A40" s="126"/>
      <c r="B40" s="13"/>
      <c r="C40" s="354" t="s">
        <v>625</v>
      </c>
      <c r="D40" s="239" t="s">
        <v>911</v>
      </c>
      <c r="E40" s="853"/>
      <c r="F40" s="192"/>
      <c r="G40" s="784"/>
      <c r="H40" s="809"/>
      <c r="I40" s="176"/>
      <c r="J40" s="55"/>
    </row>
    <row r="41" spans="1:10" s="53" customFormat="1">
      <c r="A41" s="126"/>
      <c r="B41" s="13"/>
      <c r="C41" s="354"/>
      <c r="D41" s="239" t="s">
        <v>628</v>
      </c>
      <c r="E41" s="853"/>
      <c r="F41" s="192" t="s">
        <v>0</v>
      </c>
      <c r="G41" s="784">
        <f>+'MAPA 1-ISKAZ KOLIČINA'!O31</f>
        <v>8.6916250000000002</v>
      </c>
      <c r="H41" s="809"/>
      <c r="I41" s="728">
        <f>G41*H41</f>
        <v>0</v>
      </c>
      <c r="J41" s="55"/>
    </row>
    <row r="42" spans="1:10" s="53" customFormat="1">
      <c r="A42" s="126"/>
      <c r="B42" s="13"/>
      <c r="C42" s="354"/>
      <c r="D42" s="239"/>
      <c r="E42" s="853"/>
      <c r="F42" s="192"/>
      <c r="G42" s="784"/>
      <c r="H42" s="809"/>
      <c r="I42" s="176"/>
      <c r="J42" s="55"/>
    </row>
    <row r="43" spans="1:10" s="53" customFormat="1">
      <c r="A43" s="126"/>
      <c r="B43" s="13"/>
      <c r="C43" s="354" t="s">
        <v>627</v>
      </c>
      <c r="D43" s="239" t="s">
        <v>912</v>
      </c>
      <c r="E43" s="853"/>
      <c r="F43" s="192"/>
      <c r="G43" s="784"/>
      <c r="H43" s="809"/>
      <c r="I43" s="176"/>
      <c r="J43" s="55"/>
    </row>
    <row r="44" spans="1:10" s="53" customFormat="1">
      <c r="A44" s="126"/>
      <c r="B44" s="13"/>
      <c r="C44" s="354"/>
      <c r="D44" s="239" t="s">
        <v>621</v>
      </c>
      <c r="E44" s="853"/>
      <c r="F44" s="192" t="s">
        <v>12</v>
      </c>
      <c r="G44" s="784">
        <f>+'MAPA 1-ISKAZ KOLIČINA'!P31</f>
        <v>14.645000000000001</v>
      </c>
      <c r="H44" s="809"/>
      <c r="I44" s="728">
        <f>G44*H44</f>
        <v>0</v>
      </c>
      <c r="J44" s="55"/>
    </row>
    <row r="45" spans="1:10" s="53" customFormat="1">
      <c r="A45" s="126"/>
      <c r="B45" s="13"/>
      <c r="C45" s="354"/>
      <c r="D45" s="239"/>
      <c r="E45" s="853"/>
      <c r="F45" s="192"/>
      <c r="G45" s="784"/>
      <c r="H45" s="809"/>
      <c r="I45" s="176"/>
      <c r="J45" s="55"/>
    </row>
    <row r="46" spans="1:10" s="53" customFormat="1">
      <c r="A46" s="126"/>
      <c r="B46" s="13"/>
      <c r="C46" s="354" t="s">
        <v>629</v>
      </c>
      <c r="D46" s="239" t="s">
        <v>913</v>
      </c>
      <c r="E46" s="853"/>
      <c r="F46" s="192"/>
      <c r="G46" s="784"/>
      <c r="H46" s="809"/>
      <c r="I46" s="176"/>
      <c r="J46" s="55"/>
    </row>
    <row r="47" spans="1:10" s="53" customFormat="1">
      <c r="A47" s="126"/>
      <c r="B47" s="13"/>
      <c r="C47" s="354"/>
      <c r="D47" s="239" t="s">
        <v>621</v>
      </c>
      <c r="E47" s="853"/>
      <c r="F47" s="192" t="s">
        <v>12</v>
      </c>
      <c r="G47" s="784">
        <f>+'MAPA 1-ISKAZ KOLIČINA'!Q31</f>
        <v>32.480000000000004</v>
      </c>
      <c r="H47" s="809"/>
      <c r="I47" s="728">
        <f>G47*H47</f>
        <v>0</v>
      </c>
      <c r="J47" s="55"/>
    </row>
    <row r="48" spans="1:10" s="53" customFormat="1">
      <c r="A48" s="126"/>
      <c r="B48" s="13"/>
      <c r="C48" s="354"/>
      <c r="D48" s="239"/>
      <c r="E48" s="853"/>
      <c r="F48" s="192"/>
      <c r="G48" s="784"/>
      <c r="H48" s="809"/>
      <c r="I48" s="176"/>
      <c r="J48" s="55"/>
    </row>
    <row r="49" spans="1:10" s="53" customFormat="1">
      <c r="A49" s="126"/>
      <c r="B49" s="13"/>
      <c r="C49" s="354" t="s">
        <v>630</v>
      </c>
      <c r="D49" s="239" t="s">
        <v>748</v>
      </c>
      <c r="E49" s="853"/>
      <c r="F49" s="192"/>
      <c r="G49" s="784"/>
      <c r="H49" s="809"/>
      <c r="I49" s="176"/>
      <c r="J49" s="55"/>
    </row>
    <row r="50" spans="1:10" s="53" customFormat="1">
      <c r="A50" s="126"/>
      <c r="B50" s="13"/>
      <c r="C50" s="354"/>
      <c r="D50" s="239" t="s">
        <v>621</v>
      </c>
      <c r="E50" s="853"/>
      <c r="F50" s="192" t="s">
        <v>12</v>
      </c>
      <c r="G50" s="784">
        <f>+'MAPA 1-ISKAZ KOLIČINA'!T31</f>
        <v>19.875</v>
      </c>
      <c r="H50" s="809"/>
      <c r="I50" s="728">
        <f>G50*H50</f>
        <v>0</v>
      </c>
      <c r="J50" s="55"/>
    </row>
    <row r="51" spans="1:10" s="53" customFormat="1">
      <c r="A51" s="126"/>
      <c r="B51" s="13"/>
      <c r="C51" s="354"/>
      <c r="D51" s="239"/>
      <c r="E51" s="853"/>
      <c r="F51" s="192"/>
      <c r="G51" s="784"/>
      <c r="H51" s="809"/>
      <c r="I51" s="176"/>
      <c r="J51" s="55"/>
    </row>
    <row r="52" spans="1:10" s="53" customFormat="1">
      <c r="A52" s="126"/>
      <c r="B52" s="13"/>
      <c r="C52" s="354" t="s">
        <v>632</v>
      </c>
      <c r="D52" s="239" t="s">
        <v>645</v>
      </c>
      <c r="E52" s="853"/>
      <c r="F52" s="192"/>
      <c r="G52" s="784"/>
      <c r="H52" s="809"/>
      <c r="I52" s="176"/>
      <c r="J52" s="55"/>
    </row>
    <row r="53" spans="1:10" s="53" customFormat="1">
      <c r="A53" s="126"/>
      <c r="B53" s="13"/>
      <c r="C53" s="354"/>
      <c r="D53" s="239" t="s">
        <v>634</v>
      </c>
      <c r="E53" s="853"/>
      <c r="F53" s="192"/>
      <c r="G53" s="784"/>
      <c r="H53" s="809"/>
      <c r="I53" s="176"/>
      <c r="J53" s="55"/>
    </row>
    <row r="54" spans="1:10" s="53" customFormat="1">
      <c r="A54" s="126"/>
      <c r="B54" s="13"/>
      <c r="C54" s="354"/>
      <c r="D54" s="239" t="s">
        <v>749</v>
      </c>
      <c r="E54" s="853"/>
      <c r="F54" s="192" t="s">
        <v>11</v>
      </c>
      <c r="G54" s="784">
        <v>4</v>
      </c>
      <c r="H54" s="809"/>
      <c r="I54" s="728">
        <f>G54*H54</f>
        <v>0</v>
      </c>
      <c r="J54" s="55"/>
    </row>
    <row r="55" spans="1:10" s="53" customFormat="1">
      <c r="A55" s="126"/>
      <c r="B55" s="13"/>
      <c r="C55" s="354"/>
      <c r="D55" s="239" t="s">
        <v>750</v>
      </c>
      <c r="E55" s="853"/>
      <c r="F55" s="192" t="s">
        <v>11</v>
      </c>
      <c r="G55" s="784">
        <v>1</v>
      </c>
      <c r="H55" s="809"/>
      <c r="I55" s="728">
        <f>G55*H55</f>
        <v>0</v>
      </c>
      <c r="J55" s="55"/>
    </row>
    <row r="56" spans="1:10" s="53" customFormat="1">
      <c r="A56" s="126"/>
      <c r="B56" s="13"/>
      <c r="C56" s="354"/>
      <c r="D56" s="239"/>
      <c r="E56" s="853"/>
      <c r="F56" s="192"/>
      <c r="G56" s="784"/>
      <c r="H56" s="809"/>
      <c r="I56" s="176"/>
      <c r="J56" s="55"/>
    </row>
    <row r="57" spans="1:10" s="53" customFormat="1">
      <c r="A57" s="126"/>
      <c r="B57" s="13"/>
      <c r="C57" s="354" t="s">
        <v>644</v>
      </c>
      <c r="D57" s="239" t="s">
        <v>994</v>
      </c>
      <c r="E57" s="853"/>
      <c r="F57" s="192"/>
      <c r="G57" s="784"/>
      <c r="H57" s="809"/>
      <c r="I57" s="176"/>
      <c r="J57" s="55"/>
    </row>
    <row r="58" spans="1:10" s="53" customFormat="1">
      <c r="A58" s="126"/>
      <c r="B58" s="13"/>
      <c r="C58" s="354"/>
      <c r="D58" s="239" t="s">
        <v>634</v>
      </c>
      <c r="E58" s="853"/>
      <c r="F58" s="192"/>
      <c r="G58" s="784"/>
      <c r="H58" s="809"/>
      <c r="I58" s="176"/>
      <c r="J58" s="55"/>
    </row>
    <row r="59" spans="1:10" s="53" customFormat="1">
      <c r="A59" s="126"/>
      <c r="B59" s="13"/>
      <c r="C59" s="354"/>
      <c r="D59" s="239" t="s">
        <v>751</v>
      </c>
      <c r="E59" s="853"/>
      <c r="F59" s="192" t="s">
        <v>11</v>
      </c>
      <c r="G59" s="784">
        <v>3</v>
      </c>
      <c r="H59" s="809"/>
      <c r="I59" s="728">
        <f t="shared" ref="I59:I63" si="2">G59*H59</f>
        <v>0</v>
      </c>
      <c r="J59" s="55"/>
    </row>
    <row r="60" spans="1:10" s="53" customFormat="1">
      <c r="A60" s="126"/>
      <c r="B60" s="13"/>
      <c r="C60" s="354"/>
      <c r="D60" s="239" t="s">
        <v>647</v>
      </c>
      <c r="E60" s="853"/>
      <c r="F60" s="192" t="s">
        <v>11</v>
      </c>
      <c r="G60" s="784">
        <v>2</v>
      </c>
      <c r="H60" s="809"/>
      <c r="I60" s="728">
        <f t="shared" si="2"/>
        <v>0</v>
      </c>
      <c r="J60" s="55"/>
    </row>
    <row r="61" spans="1:10" s="53" customFormat="1">
      <c r="A61" s="126"/>
      <c r="B61" s="13"/>
      <c r="C61" s="354"/>
      <c r="D61" s="239" t="s">
        <v>753</v>
      </c>
      <c r="E61" s="853"/>
      <c r="F61" s="192" t="s">
        <v>11</v>
      </c>
      <c r="G61" s="784">
        <v>1</v>
      </c>
      <c r="H61" s="809"/>
      <c r="I61" s="728">
        <f t="shared" si="2"/>
        <v>0</v>
      </c>
      <c r="J61" s="55"/>
    </row>
    <row r="62" spans="1:10" s="53" customFormat="1">
      <c r="A62" s="126"/>
      <c r="B62" s="13"/>
      <c r="C62" s="354"/>
      <c r="D62" s="239" t="s">
        <v>754</v>
      </c>
      <c r="E62" s="853"/>
      <c r="F62" s="192" t="s">
        <v>11</v>
      </c>
      <c r="G62" s="784">
        <v>1</v>
      </c>
      <c r="H62" s="809"/>
      <c r="I62" s="728">
        <f t="shared" si="2"/>
        <v>0</v>
      </c>
      <c r="J62" s="55"/>
    </row>
    <row r="63" spans="1:10" s="53" customFormat="1">
      <c r="A63" s="126"/>
      <c r="B63" s="13"/>
      <c r="C63" s="354"/>
      <c r="D63" s="239" t="s">
        <v>755</v>
      </c>
      <c r="E63" s="853"/>
      <c r="F63" s="192" t="s">
        <v>11</v>
      </c>
      <c r="G63" s="784">
        <v>1</v>
      </c>
      <c r="H63" s="809"/>
      <c r="I63" s="728">
        <f t="shared" si="2"/>
        <v>0</v>
      </c>
      <c r="J63" s="55"/>
    </row>
    <row r="64" spans="1:10" s="53" customFormat="1">
      <c r="A64" s="126"/>
      <c r="B64" s="13"/>
      <c r="C64" s="354"/>
      <c r="D64" s="239"/>
      <c r="E64" s="853"/>
      <c r="F64" s="192"/>
      <c r="G64" s="784"/>
      <c r="H64" s="809"/>
      <c r="I64" s="176"/>
      <c r="J64" s="55"/>
    </row>
    <row r="65" spans="1:10" s="53" customFormat="1" ht="38.25">
      <c r="A65" s="126"/>
      <c r="B65" s="13"/>
      <c r="C65" s="354" t="s">
        <v>650</v>
      </c>
      <c r="D65" s="239" t="s">
        <v>975</v>
      </c>
      <c r="E65" s="853"/>
      <c r="F65" s="783"/>
      <c r="G65" s="710"/>
      <c r="H65" s="810"/>
      <c r="I65" s="933"/>
      <c r="J65" s="55"/>
    </row>
    <row r="66" spans="1:10" s="53" customFormat="1">
      <c r="A66" s="126"/>
      <c r="B66" s="13"/>
      <c r="C66" s="354"/>
      <c r="D66" s="239" t="s">
        <v>805</v>
      </c>
      <c r="E66" s="853"/>
      <c r="F66" s="192" t="s">
        <v>21</v>
      </c>
      <c r="G66" s="784">
        <v>1</v>
      </c>
      <c r="H66" s="809"/>
      <c r="I66" s="728">
        <f>G66*H66</f>
        <v>0</v>
      </c>
      <c r="J66" s="55"/>
    </row>
    <row r="67" spans="1:10" s="53" customFormat="1">
      <c r="A67" s="126"/>
      <c r="B67" s="13"/>
      <c r="C67" s="354"/>
      <c r="D67" s="239"/>
      <c r="E67" s="853"/>
      <c r="F67" s="192"/>
      <c r="G67" s="784"/>
      <c r="H67" s="809"/>
      <c r="I67" s="176"/>
      <c r="J67" s="55"/>
    </row>
    <row r="68" spans="1:10" s="53" customFormat="1">
      <c r="A68" s="126"/>
      <c r="B68" s="13"/>
      <c r="C68" s="354" t="s">
        <v>651</v>
      </c>
      <c r="D68" s="239" t="s">
        <v>752</v>
      </c>
      <c r="E68" s="853"/>
      <c r="F68" s="192"/>
      <c r="G68" s="784"/>
      <c r="H68" s="809"/>
      <c r="I68" s="176"/>
      <c r="J68" s="55"/>
    </row>
    <row r="69" spans="1:10" s="53" customFormat="1" ht="25.5">
      <c r="A69" s="126"/>
      <c r="B69" s="13"/>
      <c r="C69" s="354"/>
      <c r="D69" s="239" t="s">
        <v>799</v>
      </c>
      <c r="E69" s="853"/>
      <c r="F69" s="192" t="s">
        <v>21</v>
      </c>
      <c r="G69" s="784">
        <v>1</v>
      </c>
      <c r="H69" s="809"/>
      <c r="I69" s="728">
        <f>G69*H69</f>
        <v>0</v>
      </c>
      <c r="J69" s="55"/>
    </row>
    <row r="70" spans="1:10" s="53" customFormat="1">
      <c r="A70" s="126"/>
      <c r="B70" s="13"/>
      <c r="C70" s="354"/>
      <c r="D70" s="239"/>
      <c r="E70" s="853"/>
      <c r="F70" s="192"/>
      <c r="G70" s="784"/>
      <c r="H70" s="809"/>
      <c r="I70" s="176"/>
      <c r="J70" s="55"/>
    </row>
    <row r="71" spans="1:10" s="53" customFormat="1">
      <c r="A71" s="126"/>
      <c r="B71" s="13"/>
      <c r="C71" s="354" t="s">
        <v>652</v>
      </c>
      <c r="D71" s="239" t="s">
        <v>806</v>
      </c>
      <c r="E71" s="853"/>
      <c r="F71" s="192"/>
      <c r="G71" s="784"/>
      <c r="H71" s="809"/>
      <c r="I71" s="176"/>
      <c r="J71" s="55"/>
    </row>
    <row r="72" spans="1:10" s="53" customFormat="1">
      <c r="A72" s="126"/>
      <c r="B72" s="13"/>
      <c r="C72" s="354"/>
      <c r="D72" s="239" t="s">
        <v>805</v>
      </c>
      <c r="E72" s="853"/>
      <c r="F72" s="192" t="s">
        <v>21</v>
      </c>
      <c r="G72" s="784">
        <v>1</v>
      </c>
      <c r="H72" s="809"/>
      <c r="I72" s="728">
        <f>G72*H72</f>
        <v>0</v>
      </c>
      <c r="J72" s="55"/>
    </row>
    <row r="73" spans="1:10" s="53" customFormat="1">
      <c r="A73" s="126"/>
      <c r="B73" s="13"/>
      <c r="C73" s="354"/>
      <c r="D73" s="239"/>
      <c r="E73" s="853"/>
      <c r="F73" s="192"/>
      <c r="G73" s="784"/>
      <c r="H73" s="809"/>
      <c r="I73" s="176"/>
      <c r="J73" s="55"/>
    </row>
    <row r="74" spans="1:10" s="53" customFormat="1" ht="25.5">
      <c r="A74" s="126"/>
      <c r="B74" s="13"/>
      <c r="C74" s="354" t="s">
        <v>661</v>
      </c>
      <c r="D74" s="239" t="s">
        <v>989</v>
      </c>
      <c r="E74" s="853"/>
      <c r="F74" s="192"/>
      <c r="G74" s="784"/>
      <c r="H74" s="809"/>
      <c r="I74" s="176"/>
      <c r="J74" s="55"/>
    </row>
    <row r="75" spans="1:10" s="53" customFormat="1">
      <c r="A75" s="126"/>
      <c r="B75" s="13"/>
      <c r="C75" s="354"/>
      <c r="D75" s="239" t="s">
        <v>854</v>
      </c>
      <c r="E75" s="853"/>
      <c r="F75" s="192" t="s">
        <v>514</v>
      </c>
      <c r="G75" s="784">
        <v>20</v>
      </c>
      <c r="H75" s="809"/>
      <c r="I75" s="728">
        <f>G75*H75</f>
        <v>0</v>
      </c>
      <c r="J75" s="55"/>
    </row>
    <row r="76" spans="1:10" s="53" customFormat="1">
      <c r="A76" s="126"/>
      <c r="B76" s="13"/>
      <c r="C76" s="354"/>
      <c r="D76" s="239"/>
      <c r="E76" s="853"/>
      <c r="F76" s="192"/>
      <c r="G76" s="784"/>
      <c r="H76" s="809"/>
      <c r="I76" s="176"/>
      <c r="J76" s="55"/>
    </row>
    <row r="77" spans="1:10" s="53" customFormat="1" ht="38.25">
      <c r="A77" s="126"/>
      <c r="B77" s="13"/>
      <c r="C77" s="354" t="s">
        <v>662</v>
      </c>
      <c r="D77" s="239" t="s">
        <v>914</v>
      </c>
      <c r="E77" s="853"/>
      <c r="F77" s="192"/>
      <c r="G77" s="784"/>
      <c r="H77" s="809"/>
      <c r="I77" s="176"/>
      <c r="J77" s="55"/>
    </row>
    <row r="78" spans="1:10" s="53" customFormat="1">
      <c r="A78" s="126"/>
      <c r="B78" s="13"/>
      <c r="C78" s="354"/>
      <c r="D78" s="239" t="s">
        <v>382</v>
      </c>
      <c r="E78" s="853"/>
      <c r="F78" s="192" t="s">
        <v>12</v>
      </c>
      <c r="G78" s="784">
        <v>12</v>
      </c>
      <c r="H78" s="809"/>
      <c r="I78" s="728">
        <f>G78*H78</f>
        <v>0</v>
      </c>
      <c r="J78" s="55"/>
    </row>
    <row r="79" spans="1:10" s="53" customFormat="1">
      <c r="A79" s="126"/>
      <c r="B79" s="13"/>
      <c r="C79" s="354"/>
      <c r="D79" s="239"/>
      <c r="E79" s="853"/>
      <c r="F79" s="192"/>
      <c r="G79" s="784"/>
      <c r="H79" s="809"/>
      <c r="I79" s="176"/>
      <c r="J79" s="55"/>
    </row>
    <row r="80" spans="1:10" s="53" customFormat="1" ht="25.5">
      <c r="A80" s="126"/>
      <c r="B80" s="13"/>
      <c r="C80" s="354" t="s">
        <v>663</v>
      </c>
      <c r="D80" s="239" t="s">
        <v>970</v>
      </c>
      <c r="E80" s="853"/>
      <c r="F80" s="192" t="s">
        <v>11</v>
      </c>
      <c r="G80" s="784">
        <v>1</v>
      </c>
      <c r="H80" s="809"/>
      <c r="I80" s="728">
        <f>G80*H80</f>
        <v>0</v>
      </c>
      <c r="J80" s="55"/>
    </row>
    <row r="81" spans="1:11" s="53" customFormat="1">
      <c r="A81" s="126"/>
      <c r="B81" s="13"/>
      <c r="C81" s="354"/>
      <c r="D81" s="239"/>
      <c r="E81" s="853"/>
      <c r="F81" s="192"/>
      <c r="G81" s="784"/>
      <c r="H81" s="809"/>
      <c r="I81" s="176"/>
      <c r="J81" s="55"/>
    </row>
    <row r="82" spans="1:11" s="49" customFormat="1" ht="114.75">
      <c r="A82" s="126" t="str">
        <f t="shared" si="0"/>
        <v>A2</v>
      </c>
      <c r="B82" s="13">
        <f t="shared" si="1"/>
        <v>1</v>
      </c>
      <c r="C82" s="354" t="s">
        <v>822</v>
      </c>
      <c r="D82" s="180" t="s">
        <v>60</v>
      </c>
      <c r="E82" s="857"/>
      <c r="F82" s="177"/>
      <c r="G82" s="786"/>
      <c r="H82" s="787"/>
      <c r="I82" s="159"/>
      <c r="J82" s="178"/>
      <c r="K82" s="161"/>
    </row>
    <row r="83" spans="1:11" s="49" customFormat="1">
      <c r="A83" s="126" t="str">
        <f t="shared" si="0"/>
        <v>A2</v>
      </c>
      <c r="B83" s="13">
        <f t="shared" si="1"/>
        <v>1</v>
      </c>
      <c r="C83" s="354"/>
      <c r="D83" s="180" t="s">
        <v>61</v>
      </c>
      <c r="E83" s="857"/>
      <c r="F83" s="177"/>
      <c r="G83" s="786"/>
      <c r="H83" s="787"/>
      <c r="I83" s="159"/>
      <c r="J83" s="178"/>
      <c r="K83" s="161"/>
    </row>
    <row r="84" spans="1:11" s="49" customFormat="1">
      <c r="A84" s="126" t="str">
        <f t="shared" si="0"/>
        <v>A2</v>
      </c>
      <c r="B84" s="13">
        <f t="shared" si="1"/>
        <v>1</v>
      </c>
      <c r="C84" s="364"/>
      <c r="D84" s="180" t="s">
        <v>57</v>
      </c>
      <c r="E84" s="857"/>
      <c r="F84" s="183" t="s">
        <v>58</v>
      </c>
      <c r="G84" s="401">
        <v>50</v>
      </c>
      <c r="H84" s="788"/>
      <c r="I84" s="728">
        <f>G84*H84</f>
        <v>0</v>
      </c>
      <c r="J84" s="178"/>
      <c r="K84" s="161"/>
    </row>
    <row r="85" spans="1:11" s="49" customFormat="1">
      <c r="A85" s="126" t="str">
        <f t="shared" si="0"/>
        <v>A2</v>
      </c>
      <c r="B85" s="13">
        <f t="shared" si="1"/>
        <v>1</v>
      </c>
      <c r="C85" s="179"/>
      <c r="D85" s="180" t="s">
        <v>59</v>
      </c>
      <c r="E85" s="857"/>
      <c r="F85" s="183" t="s">
        <v>58</v>
      </c>
      <c r="G85" s="401">
        <v>50</v>
      </c>
      <c r="H85" s="788"/>
      <c r="I85" s="728">
        <f>G85*H85</f>
        <v>0</v>
      </c>
      <c r="J85" s="178"/>
      <c r="K85" s="161"/>
    </row>
    <row r="86" spans="1:11" s="53" customFormat="1">
      <c r="A86" s="126" t="str">
        <f t="shared" si="0"/>
        <v>A2</v>
      </c>
      <c r="B86" s="13">
        <f t="shared" si="1"/>
        <v>1</v>
      </c>
      <c r="C86" s="130"/>
      <c r="D86" s="113"/>
      <c r="E86" s="858"/>
      <c r="F86" s="979"/>
      <c r="G86" s="339"/>
      <c r="H86" s="789"/>
      <c r="I86" s="144"/>
      <c r="J86" s="55"/>
    </row>
    <row r="87" spans="1:11" s="49" customFormat="1">
      <c r="A87" s="126" t="str">
        <f t="shared" si="0"/>
        <v>A2</v>
      </c>
      <c r="B87" s="13">
        <f t="shared" si="1"/>
        <v>1</v>
      </c>
      <c r="C87" s="131">
        <f>C13</f>
        <v>1</v>
      </c>
      <c r="D87" s="184" t="str">
        <f>D13</f>
        <v>DEMONTAŽE, RUŠENJA I PRIPREMNI RADOVI</v>
      </c>
      <c r="E87" s="859"/>
      <c r="F87" s="980" t="s">
        <v>2</v>
      </c>
      <c r="G87" s="791"/>
      <c r="H87" s="792"/>
      <c r="I87" s="729">
        <f>SUM(I20:I86)</f>
        <v>0</v>
      </c>
      <c r="J87" s="48"/>
    </row>
    <row r="88" spans="1:11" s="49" customFormat="1">
      <c r="A88" s="126" t="str">
        <f t="shared" si="0"/>
        <v>A2</v>
      </c>
      <c r="B88" s="13"/>
      <c r="C88" s="132"/>
      <c r="D88" s="166"/>
      <c r="E88" s="860"/>
      <c r="F88" s="981"/>
      <c r="G88" s="790"/>
      <c r="H88" s="789"/>
      <c r="I88" s="145"/>
      <c r="J88" s="48"/>
    </row>
    <row r="89" spans="1:11" s="49" customFormat="1">
      <c r="A89" s="126" t="str">
        <f t="shared" si="0"/>
        <v>A2</v>
      </c>
      <c r="B89" s="13"/>
      <c r="C89" s="379"/>
      <c r="D89" s="185"/>
      <c r="E89" s="861"/>
      <c r="F89" s="849"/>
      <c r="G89" s="790"/>
      <c r="H89" s="789"/>
      <c r="I89" s="144"/>
      <c r="J89" s="48"/>
    </row>
    <row r="90" spans="1:11" s="49" customFormat="1">
      <c r="A90" s="126" t="str">
        <f t="shared" si="0"/>
        <v>A2</v>
      </c>
      <c r="B90" s="13">
        <f t="shared" ref="B90:B125" si="3">$C$90</f>
        <v>2</v>
      </c>
      <c r="C90" s="125">
        <v>2</v>
      </c>
      <c r="D90" s="186" t="s">
        <v>18</v>
      </c>
      <c r="E90" s="862"/>
      <c r="F90" s="982"/>
      <c r="G90" s="793"/>
      <c r="H90" s="794"/>
      <c r="I90" s="154"/>
      <c r="J90" s="48"/>
    </row>
    <row r="91" spans="1:11" s="49" customFormat="1">
      <c r="A91" s="126" t="str">
        <f t="shared" si="0"/>
        <v>A2</v>
      </c>
      <c r="B91" s="13">
        <f t="shared" si="3"/>
        <v>2</v>
      </c>
      <c r="C91" s="132"/>
      <c r="D91" s="164"/>
      <c r="E91" s="863"/>
      <c r="F91" s="849"/>
      <c r="G91" s="790"/>
      <c r="H91" s="789"/>
      <c r="I91" s="144"/>
      <c r="J91" s="48"/>
    </row>
    <row r="92" spans="1:11" s="49" customFormat="1" ht="51">
      <c r="A92" s="126" t="str">
        <f t="shared" si="0"/>
        <v>A2</v>
      </c>
      <c r="B92" s="13">
        <f t="shared" si="3"/>
        <v>2</v>
      </c>
      <c r="C92" s="173" t="s">
        <v>62</v>
      </c>
      <c r="D92" s="239" t="s">
        <v>990</v>
      </c>
      <c r="E92" s="853"/>
      <c r="F92" s="783"/>
      <c r="G92" s="710"/>
      <c r="H92" s="810"/>
      <c r="I92" s="195"/>
      <c r="J92" s="48"/>
    </row>
    <row r="93" spans="1:11" s="49" customFormat="1">
      <c r="A93" s="126" t="str">
        <f t="shared" si="0"/>
        <v>A2</v>
      </c>
      <c r="B93" s="13">
        <f t="shared" si="3"/>
        <v>2</v>
      </c>
      <c r="C93" s="173"/>
      <c r="D93" s="239" t="s">
        <v>442</v>
      </c>
      <c r="E93" s="853"/>
      <c r="F93" s="192" t="s">
        <v>12</v>
      </c>
      <c r="G93" s="784">
        <f>71.59*1</f>
        <v>71.59</v>
      </c>
      <c r="H93" s="809"/>
      <c r="I93" s="728">
        <f>G93*H93</f>
        <v>0</v>
      </c>
      <c r="J93" s="48"/>
    </row>
    <row r="94" spans="1:11" s="49" customFormat="1">
      <c r="A94" s="126" t="str">
        <f t="shared" si="0"/>
        <v>A2</v>
      </c>
      <c r="B94" s="13">
        <f t="shared" si="3"/>
        <v>2</v>
      </c>
      <c r="C94" s="173"/>
      <c r="D94" s="187"/>
      <c r="E94" s="864"/>
      <c r="F94" s="192"/>
      <c r="G94" s="784"/>
      <c r="H94" s="809"/>
      <c r="I94" s="176"/>
      <c r="J94" s="52"/>
    </row>
    <row r="95" spans="1:11" s="49" customFormat="1" ht="51">
      <c r="A95" s="126" t="str">
        <f t="shared" si="0"/>
        <v>A2</v>
      </c>
      <c r="B95" s="13">
        <f t="shared" si="3"/>
        <v>2</v>
      </c>
      <c r="C95" s="173" t="s">
        <v>63</v>
      </c>
      <c r="D95" s="239" t="s">
        <v>991</v>
      </c>
      <c r="E95" s="853"/>
      <c r="F95" s="783"/>
      <c r="G95" s="710"/>
      <c r="H95" s="810"/>
      <c r="I95" s="195"/>
      <c r="J95" s="160"/>
    </row>
    <row r="96" spans="1:11" s="49" customFormat="1">
      <c r="A96" s="126" t="str">
        <f t="shared" si="0"/>
        <v>A2</v>
      </c>
      <c r="B96" s="13">
        <f t="shared" si="3"/>
        <v>2</v>
      </c>
      <c r="C96" s="173"/>
      <c r="D96" s="239" t="s">
        <v>64</v>
      </c>
      <c r="E96" s="853"/>
      <c r="F96" s="192" t="s">
        <v>0</v>
      </c>
      <c r="G96" s="784">
        <f>G93*0.8+2.81</f>
        <v>60.082000000000008</v>
      </c>
      <c r="H96" s="809"/>
      <c r="I96" s="728">
        <f>G96*H96</f>
        <v>0</v>
      </c>
      <c r="J96" s="160"/>
    </row>
    <row r="97" spans="1:10" s="49" customFormat="1">
      <c r="A97" s="126" t="str">
        <f t="shared" si="0"/>
        <v>A2</v>
      </c>
      <c r="B97" s="13">
        <f t="shared" si="3"/>
        <v>2</v>
      </c>
      <c r="C97" s="381"/>
      <c r="D97" s="166"/>
      <c r="E97" s="860"/>
      <c r="F97" s="849"/>
      <c r="G97" s="790"/>
      <c r="H97" s="789"/>
      <c r="I97" s="144"/>
      <c r="J97" s="48"/>
    </row>
    <row r="98" spans="1:10" s="49" customFormat="1" ht="63.75">
      <c r="A98" s="126"/>
      <c r="B98" s="13"/>
      <c r="C98" s="173" t="s">
        <v>466</v>
      </c>
      <c r="D98" s="239" t="s">
        <v>468</v>
      </c>
      <c r="E98" s="853"/>
      <c r="F98" s="849"/>
      <c r="G98" s="790"/>
      <c r="H98" s="789"/>
      <c r="I98" s="144"/>
      <c r="J98" s="48"/>
    </row>
    <row r="99" spans="1:10" s="49" customFormat="1">
      <c r="A99" s="126"/>
      <c r="B99" s="13"/>
      <c r="C99" s="381"/>
      <c r="D99" s="239" t="s">
        <v>467</v>
      </c>
      <c r="E99" s="853"/>
      <c r="F99" s="849" t="s">
        <v>0</v>
      </c>
      <c r="G99" s="790">
        <f>71.9*0.5*0.6+11.93*0.25</f>
        <v>24.552500000000002</v>
      </c>
      <c r="H99" s="789"/>
      <c r="I99" s="728">
        <f>G99*H99</f>
        <v>0</v>
      </c>
      <c r="J99" s="48"/>
    </row>
    <row r="100" spans="1:10" s="49" customFormat="1">
      <c r="A100" s="126"/>
      <c r="B100" s="13"/>
      <c r="C100" s="381"/>
      <c r="D100" s="166"/>
      <c r="E100" s="860"/>
      <c r="F100" s="849"/>
      <c r="G100" s="790"/>
      <c r="H100" s="789"/>
      <c r="I100" s="144"/>
      <c r="J100" s="48"/>
    </row>
    <row r="101" spans="1:10" s="49" customFormat="1" ht="25.5">
      <c r="A101" s="126"/>
      <c r="B101" s="13"/>
      <c r="C101" s="173" t="s">
        <v>838</v>
      </c>
      <c r="D101" s="239" t="s">
        <v>855</v>
      </c>
      <c r="E101" s="853"/>
      <c r="F101" s="192" t="s">
        <v>12</v>
      </c>
      <c r="G101" s="784">
        <v>50.81</v>
      </c>
      <c r="H101" s="809"/>
      <c r="I101" s="728">
        <f>G101*H101</f>
        <v>0</v>
      </c>
      <c r="J101" s="48"/>
    </row>
    <row r="102" spans="1:10" s="49" customFormat="1">
      <c r="A102" s="126"/>
      <c r="B102" s="13"/>
      <c r="C102" s="381"/>
      <c r="D102" s="166"/>
      <c r="E102" s="860"/>
      <c r="F102" s="849"/>
      <c r="G102" s="790"/>
      <c r="H102" s="789"/>
      <c r="I102" s="144"/>
      <c r="J102" s="48"/>
    </row>
    <row r="103" spans="1:10" s="49" customFormat="1" ht="76.5">
      <c r="A103" s="126" t="str">
        <f t="shared" ref="A103:A104" si="4">$C$11</f>
        <v>A2</v>
      </c>
      <c r="B103" s="13">
        <f t="shared" ref="B103:B104" si="5">$C$36</f>
        <v>0</v>
      </c>
      <c r="C103" s="173" t="s">
        <v>856</v>
      </c>
      <c r="D103" s="239" t="s">
        <v>925</v>
      </c>
      <c r="E103" s="853"/>
      <c r="F103" s="783"/>
      <c r="G103" s="710"/>
      <c r="H103" s="810"/>
      <c r="I103" s="195"/>
      <c r="J103" s="48"/>
    </row>
    <row r="104" spans="1:10" s="49" customFormat="1">
      <c r="A104" s="126" t="str">
        <f t="shared" si="4"/>
        <v>A2</v>
      </c>
      <c r="B104" s="13">
        <f t="shared" si="5"/>
        <v>0</v>
      </c>
      <c r="C104" s="173"/>
      <c r="D104" s="239" t="s">
        <v>924</v>
      </c>
      <c r="E104" s="853"/>
      <c r="F104" s="192" t="s">
        <v>0</v>
      </c>
      <c r="G104" s="784">
        <f>93.34*0.88</f>
        <v>82.139200000000002</v>
      </c>
      <c r="H104" s="809"/>
      <c r="I104" s="728">
        <f>G104*H104</f>
        <v>0</v>
      </c>
      <c r="J104" s="48"/>
    </row>
    <row r="105" spans="1:10" s="49" customFormat="1">
      <c r="A105" s="126"/>
      <c r="B105" s="13"/>
      <c r="C105" s="173"/>
      <c r="D105" s="239"/>
      <c r="E105" s="853"/>
      <c r="F105" s="192"/>
      <c r="G105" s="784"/>
      <c r="H105" s="809"/>
      <c r="I105" s="176"/>
      <c r="J105" s="48"/>
    </row>
    <row r="106" spans="1:10" s="49" customFormat="1" ht="25.5">
      <c r="A106" s="126"/>
      <c r="B106" s="13"/>
      <c r="C106" s="173" t="s">
        <v>926</v>
      </c>
      <c r="D106" s="239" t="s">
        <v>850</v>
      </c>
      <c r="E106" s="853"/>
      <c r="F106" s="849"/>
      <c r="G106" s="790"/>
      <c r="H106" s="789"/>
      <c r="I106" s="144"/>
      <c r="J106" s="48"/>
    </row>
    <row r="107" spans="1:10" s="49" customFormat="1" ht="25.5">
      <c r="A107" s="126"/>
      <c r="B107" s="13"/>
      <c r="C107" s="173"/>
      <c r="D107" s="239" t="s">
        <v>839</v>
      </c>
      <c r="E107" s="853"/>
      <c r="F107" s="849"/>
      <c r="G107" s="790"/>
      <c r="H107" s="789"/>
      <c r="I107" s="144"/>
      <c r="J107" s="48"/>
    </row>
    <row r="108" spans="1:10" s="49" customFormat="1">
      <c r="A108" s="126"/>
      <c r="B108" s="13"/>
      <c r="C108" s="173"/>
      <c r="D108" s="239" t="s">
        <v>840</v>
      </c>
      <c r="E108" s="853"/>
      <c r="F108" s="849"/>
      <c r="G108" s="790"/>
      <c r="H108" s="789"/>
      <c r="I108" s="144"/>
      <c r="J108" s="48"/>
    </row>
    <row r="109" spans="1:10" s="49" customFormat="1">
      <c r="A109" s="126"/>
      <c r="B109" s="13"/>
      <c r="C109" s="173"/>
      <c r="D109" s="239" t="s">
        <v>841</v>
      </c>
      <c r="E109" s="853"/>
      <c r="F109" s="849"/>
      <c r="G109" s="790"/>
      <c r="H109" s="789"/>
      <c r="I109" s="144"/>
      <c r="J109" s="48"/>
    </row>
    <row r="110" spans="1:10" s="49" customFormat="1" ht="25.5">
      <c r="A110" s="126"/>
      <c r="B110" s="13"/>
      <c r="C110" s="173"/>
      <c r="D110" s="239" t="s">
        <v>846</v>
      </c>
      <c r="E110" s="853"/>
      <c r="F110" s="849"/>
      <c r="G110" s="790"/>
      <c r="H110" s="789"/>
      <c r="I110" s="144"/>
      <c r="J110" s="48"/>
    </row>
    <row r="111" spans="1:10" s="49" customFormat="1" ht="38.25">
      <c r="A111" s="126"/>
      <c r="B111" s="13"/>
      <c r="C111" s="173"/>
      <c r="D111" s="239" t="s">
        <v>847</v>
      </c>
      <c r="E111" s="853"/>
      <c r="F111" s="849"/>
      <c r="G111" s="790"/>
      <c r="H111" s="789"/>
      <c r="I111" s="144"/>
      <c r="J111" s="48"/>
    </row>
    <row r="112" spans="1:10" s="49" customFormat="1">
      <c r="A112" s="126"/>
      <c r="B112" s="13"/>
      <c r="C112" s="173"/>
      <c r="D112" s="239" t="s">
        <v>848</v>
      </c>
      <c r="E112" s="853"/>
      <c r="F112" s="849"/>
      <c r="G112" s="790"/>
      <c r="H112" s="789"/>
      <c r="I112" s="144"/>
      <c r="J112" s="48"/>
    </row>
    <row r="113" spans="1:10" s="49" customFormat="1">
      <c r="A113" s="126"/>
      <c r="B113" s="13"/>
      <c r="C113" s="173"/>
      <c r="D113" s="239"/>
      <c r="E113" s="853"/>
      <c r="F113" s="849"/>
      <c r="G113" s="790"/>
      <c r="H113" s="789"/>
      <c r="I113" s="144"/>
      <c r="J113" s="48"/>
    </row>
    <row r="114" spans="1:10" s="49" customFormat="1">
      <c r="A114" s="126"/>
      <c r="B114" s="13"/>
      <c r="C114" s="173"/>
      <c r="D114" s="239" t="s">
        <v>842</v>
      </c>
      <c r="E114" s="853"/>
      <c r="F114" s="849"/>
      <c r="G114" s="790"/>
      <c r="H114" s="789"/>
      <c r="I114" s="144"/>
      <c r="J114" s="48"/>
    </row>
    <row r="115" spans="1:10" s="49" customFormat="1">
      <c r="A115" s="126"/>
      <c r="B115" s="13"/>
      <c r="C115" s="173"/>
      <c r="D115" s="239" t="s">
        <v>843</v>
      </c>
      <c r="E115" s="853"/>
      <c r="F115" s="849"/>
      <c r="G115" s="790"/>
      <c r="H115" s="789"/>
      <c r="I115" s="144"/>
      <c r="J115" s="48"/>
    </row>
    <row r="116" spans="1:10" s="49" customFormat="1">
      <c r="A116" s="126"/>
      <c r="B116" s="13"/>
      <c r="C116" s="173"/>
      <c r="D116" s="239" t="s">
        <v>844</v>
      </c>
      <c r="E116" s="853"/>
      <c r="F116" s="849"/>
      <c r="G116" s="790"/>
      <c r="H116" s="789"/>
      <c r="I116" s="144"/>
      <c r="J116" s="48"/>
    </row>
    <row r="117" spans="1:10" s="49" customFormat="1">
      <c r="A117" s="126"/>
      <c r="B117" s="13"/>
      <c r="C117" s="173"/>
      <c r="D117" s="239" t="s">
        <v>845</v>
      </c>
      <c r="E117" s="853"/>
      <c r="F117" s="849"/>
      <c r="G117" s="790"/>
      <c r="H117" s="789"/>
      <c r="I117" s="144"/>
      <c r="J117" s="48"/>
    </row>
    <row r="118" spans="1:10" s="49" customFormat="1">
      <c r="A118" s="126"/>
      <c r="B118" s="13"/>
      <c r="C118" s="381"/>
      <c r="D118" s="360" t="s">
        <v>851</v>
      </c>
      <c r="E118" s="954"/>
      <c r="F118" s="849"/>
      <c r="G118" s="790"/>
      <c r="H118" s="789"/>
      <c r="I118" s="144"/>
      <c r="J118" s="48"/>
    </row>
    <row r="119" spans="1:10" s="49" customFormat="1">
      <c r="A119" s="126"/>
      <c r="B119" s="13"/>
      <c r="C119" s="381"/>
      <c r="D119" s="360" t="s">
        <v>852</v>
      </c>
      <c r="E119" s="954"/>
      <c r="F119" s="849"/>
      <c r="G119" s="790"/>
      <c r="H119" s="789"/>
      <c r="I119" s="144"/>
      <c r="J119" s="48"/>
    </row>
    <row r="120" spans="1:10" s="49" customFormat="1" ht="51">
      <c r="A120" s="126"/>
      <c r="B120" s="13"/>
      <c r="C120" s="381"/>
      <c r="D120" s="239" t="s">
        <v>853</v>
      </c>
      <c r="E120" s="853"/>
      <c r="F120" s="849"/>
      <c r="G120" s="790"/>
      <c r="H120" s="789"/>
      <c r="I120" s="144"/>
      <c r="J120" s="48"/>
    </row>
    <row r="121" spans="1:10" s="49" customFormat="1" ht="25.5">
      <c r="A121" s="126"/>
      <c r="B121" s="13"/>
      <c r="C121" s="381"/>
      <c r="D121" s="239" t="s">
        <v>896</v>
      </c>
      <c r="E121" s="853"/>
      <c r="F121" s="849"/>
      <c r="G121" s="790"/>
      <c r="H121" s="789"/>
      <c r="I121" s="144"/>
      <c r="J121" s="48"/>
    </row>
    <row r="122" spans="1:10" s="49" customFormat="1" ht="25.5">
      <c r="A122" s="126"/>
      <c r="B122" s="13"/>
      <c r="C122" s="381"/>
      <c r="D122" s="239" t="s">
        <v>849</v>
      </c>
      <c r="E122" s="853"/>
      <c r="F122" s="849"/>
      <c r="G122" s="790"/>
      <c r="H122" s="789"/>
      <c r="I122" s="144"/>
      <c r="J122" s="48"/>
    </row>
    <row r="123" spans="1:10" s="49" customFormat="1">
      <c r="A123" s="126" t="str">
        <f t="shared" si="0"/>
        <v>A2</v>
      </c>
      <c r="B123" s="13">
        <f t="shared" si="3"/>
        <v>2</v>
      </c>
      <c r="C123" s="173"/>
      <c r="D123" s="239" t="s">
        <v>382</v>
      </c>
      <c r="E123" s="853"/>
      <c r="F123" s="192" t="s">
        <v>12</v>
      </c>
      <c r="G123" s="784">
        <f>G101</f>
        <v>50.81</v>
      </c>
      <c r="H123" s="809"/>
      <c r="I123" s="728">
        <f>G123*H123</f>
        <v>0</v>
      </c>
      <c r="J123" s="48"/>
    </row>
    <row r="124" spans="1:10" s="49" customFormat="1">
      <c r="A124" s="126"/>
      <c r="B124" s="13"/>
      <c r="C124" s="381"/>
      <c r="D124" s="166"/>
      <c r="E124" s="860"/>
      <c r="F124" s="849"/>
      <c r="G124" s="790"/>
      <c r="H124" s="789"/>
      <c r="I124" s="144"/>
      <c r="J124" s="48"/>
    </row>
    <row r="125" spans="1:10" s="49" customFormat="1">
      <c r="A125" s="126" t="str">
        <f t="shared" si="0"/>
        <v>A2</v>
      </c>
      <c r="B125" s="13">
        <f t="shared" si="3"/>
        <v>2</v>
      </c>
      <c r="C125" s="189">
        <f>C90</f>
        <v>2</v>
      </c>
      <c r="D125" s="184" t="str">
        <f>D90</f>
        <v>ZEMLJANI RADOVI</v>
      </c>
      <c r="E125" s="859"/>
      <c r="F125" s="980" t="s">
        <v>2</v>
      </c>
      <c r="G125" s="791"/>
      <c r="H125" s="792"/>
      <c r="I125" s="153">
        <f>SUM(I92:I124)</f>
        <v>0</v>
      </c>
      <c r="J125" s="48"/>
    </row>
    <row r="126" spans="1:10" s="49" customFormat="1">
      <c r="A126" s="126" t="str">
        <f t="shared" si="0"/>
        <v>A2</v>
      </c>
      <c r="B126" s="13"/>
      <c r="C126" s="163"/>
      <c r="D126" s="166"/>
      <c r="E126" s="860"/>
      <c r="F126" s="849"/>
      <c r="G126" s="790"/>
      <c r="H126" s="789"/>
      <c r="I126" s="144"/>
      <c r="J126" s="48"/>
    </row>
    <row r="127" spans="1:10" s="49" customFormat="1">
      <c r="A127" s="126" t="str">
        <f t="shared" si="0"/>
        <v>A2</v>
      </c>
      <c r="B127" s="13"/>
      <c r="C127" s="163"/>
      <c r="D127" s="166"/>
      <c r="E127" s="860"/>
      <c r="F127" s="849"/>
      <c r="G127" s="790"/>
      <c r="H127" s="789"/>
      <c r="I127" s="144"/>
      <c r="J127" s="48"/>
    </row>
    <row r="128" spans="1:10" s="49" customFormat="1">
      <c r="A128" s="126" t="str">
        <f t="shared" si="0"/>
        <v>A2</v>
      </c>
      <c r="B128" s="13">
        <f t="shared" ref="B128:B138" si="6">$C$128</f>
        <v>3</v>
      </c>
      <c r="C128" s="190">
        <v>3</v>
      </c>
      <c r="D128" s="120" t="s">
        <v>19</v>
      </c>
      <c r="E128" s="865"/>
      <c r="F128" s="983"/>
      <c r="G128" s="795"/>
      <c r="H128" s="796"/>
      <c r="I128" s="154"/>
      <c r="J128" s="48"/>
    </row>
    <row r="129" spans="1:10" s="49" customFormat="1">
      <c r="A129" s="126" t="str">
        <f t="shared" si="0"/>
        <v>A2</v>
      </c>
      <c r="B129" s="13">
        <f t="shared" si="6"/>
        <v>3</v>
      </c>
      <c r="C129" s="379"/>
      <c r="D129" s="61"/>
      <c r="E129" s="866"/>
      <c r="F129" s="848"/>
      <c r="G129" s="352"/>
      <c r="H129" s="797"/>
      <c r="I129" s="144"/>
      <c r="J129" s="48"/>
    </row>
    <row r="130" spans="1:10" s="49" customFormat="1" ht="114.75">
      <c r="A130" s="405" t="str">
        <f t="shared" ref="A130:A133" si="7">$C$11</f>
        <v>A2</v>
      </c>
      <c r="B130" s="202" t="str">
        <f t="shared" ref="B130:B133" si="8">$C$65</f>
        <v>1.14.</v>
      </c>
      <c r="C130" s="173" t="s">
        <v>438</v>
      </c>
      <c r="D130" s="239" t="s">
        <v>917</v>
      </c>
      <c r="E130" s="853"/>
      <c r="F130" s="194"/>
      <c r="G130" s="812"/>
      <c r="H130" s="810"/>
      <c r="I130" s="195"/>
      <c r="J130" s="48"/>
    </row>
    <row r="131" spans="1:10" s="49" customFormat="1" ht="38.25">
      <c r="A131" s="126" t="str">
        <f t="shared" si="7"/>
        <v>A2</v>
      </c>
      <c r="B131" s="13" t="str">
        <f t="shared" si="8"/>
        <v>1.14.</v>
      </c>
      <c r="C131" s="173"/>
      <c r="D131" s="239" t="s">
        <v>916</v>
      </c>
      <c r="E131" s="853"/>
      <c r="F131" s="194"/>
      <c r="G131" s="812"/>
      <c r="H131" s="810"/>
      <c r="I131" s="195"/>
      <c r="J131" s="48"/>
    </row>
    <row r="132" spans="1:10" s="49" customFormat="1">
      <c r="A132" s="126" t="str">
        <f t="shared" si="7"/>
        <v>A2</v>
      </c>
      <c r="B132" s="13" t="str">
        <f t="shared" si="8"/>
        <v>1.14.</v>
      </c>
      <c r="C132" s="382"/>
      <c r="D132" s="197" t="s">
        <v>65</v>
      </c>
      <c r="E132" s="867"/>
      <c r="F132" s="194" t="s">
        <v>0</v>
      </c>
      <c r="G132" s="784">
        <f>(8.9+4*2+3.16)*0.4*0.35</f>
        <v>2.8083999999999993</v>
      </c>
      <c r="H132" s="810"/>
      <c r="I132" s="728">
        <f>G132*H132</f>
        <v>0</v>
      </c>
      <c r="J132" s="48"/>
    </row>
    <row r="133" spans="1:10" s="49" customFormat="1">
      <c r="A133" s="126" t="str">
        <f t="shared" si="7"/>
        <v>A2</v>
      </c>
      <c r="B133" s="13" t="str">
        <f t="shared" si="8"/>
        <v>1.14.</v>
      </c>
      <c r="C133" s="382"/>
      <c r="D133" s="197" t="s">
        <v>918</v>
      </c>
      <c r="E133" s="867"/>
      <c r="F133" s="194" t="s">
        <v>46</v>
      </c>
      <c r="G133" s="784">
        <f>G132*90</f>
        <v>252.75599999999994</v>
      </c>
      <c r="H133" s="810"/>
      <c r="I133" s="728">
        <f>G133*H133</f>
        <v>0</v>
      </c>
      <c r="J133" s="48"/>
    </row>
    <row r="134" spans="1:10" s="49" customFormat="1">
      <c r="A134" s="126"/>
      <c r="B134" s="13"/>
      <c r="C134" s="382"/>
      <c r="D134" s="197"/>
      <c r="E134" s="867"/>
      <c r="F134" s="194"/>
      <c r="G134" s="784"/>
      <c r="H134" s="810"/>
      <c r="I134" s="195"/>
      <c r="J134" s="48"/>
    </row>
    <row r="135" spans="1:10" s="49" customFormat="1" ht="140.25">
      <c r="A135" s="405" t="str">
        <f t="shared" ref="A135:A138" si="9">$C$11</f>
        <v>A2</v>
      </c>
      <c r="B135" s="202">
        <f t="shared" si="6"/>
        <v>3</v>
      </c>
      <c r="C135" s="173" t="s">
        <v>758</v>
      </c>
      <c r="D135" s="239" t="s">
        <v>1050</v>
      </c>
      <c r="E135" s="853"/>
      <c r="F135" s="194"/>
      <c r="G135" s="812"/>
      <c r="H135" s="810"/>
      <c r="I135" s="195"/>
      <c r="J135" s="48"/>
    </row>
    <row r="136" spans="1:10" s="49" customFormat="1" ht="25.5">
      <c r="A136" s="126" t="str">
        <f t="shared" si="9"/>
        <v>A2</v>
      </c>
      <c r="B136" s="13">
        <f t="shared" si="6"/>
        <v>3</v>
      </c>
      <c r="C136" s="173"/>
      <c r="D136" s="239" t="s">
        <v>471</v>
      </c>
      <c r="E136" s="853"/>
      <c r="F136" s="194"/>
      <c r="G136" s="812"/>
      <c r="H136" s="810"/>
      <c r="I136" s="195"/>
      <c r="J136" s="48"/>
    </row>
    <row r="137" spans="1:10" s="49" customFormat="1">
      <c r="A137" s="126" t="str">
        <f t="shared" si="9"/>
        <v>A2</v>
      </c>
      <c r="B137" s="13">
        <f t="shared" si="6"/>
        <v>3</v>
      </c>
      <c r="C137" s="382"/>
      <c r="D137" s="197" t="s">
        <v>65</v>
      </c>
      <c r="E137" s="867"/>
      <c r="F137" s="194" t="s">
        <v>0</v>
      </c>
      <c r="G137" s="784">
        <f>0.5*0.2*71.9</f>
        <v>7.1900000000000013</v>
      </c>
      <c r="H137" s="810"/>
      <c r="I137" s="728">
        <f>G137*H137</f>
        <v>0</v>
      </c>
      <c r="J137" s="48"/>
    </row>
    <row r="138" spans="1:10" s="49" customFormat="1">
      <c r="A138" s="126" t="str">
        <f t="shared" si="9"/>
        <v>A2</v>
      </c>
      <c r="B138" s="13">
        <f t="shared" si="6"/>
        <v>3</v>
      </c>
      <c r="C138" s="382"/>
      <c r="D138" s="197" t="s">
        <v>66</v>
      </c>
      <c r="E138" s="867"/>
      <c r="F138" s="194" t="s">
        <v>12</v>
      </c>
      <c r="G138" s="784">
        <f>71.9*0.2</f>
        <v>14.380000000000003</v>
      </c>
      <c r="H138" s="810"/>
      <c r="I138" s="728">
        <f>G138*H138</f>
        <v>0</v>
      </c>
      <c r="J138" s="48"/>
    </row>
    <row r="139" spans="1:10" s="49" customFormat="1">
      <c r="A139" s="126"/>
      <c r="B139" s="13"/>
      <c r="C139" s="382"/>
      <c r="D139" s="197" t="s">
        <v>470</v>
      </c>
      <c r="E139" s="867"/>
      <c r="F139" s="194" t="s">
        <v>46</v>
      </c>
      <c r="G139" s="784">
        <f>G137*80</f>
        <v>575.20000000000005</v>
      </c>
      <c r="H139" s="810"/>
      <c r="I139" s="728">
        <f>G139*H139</f>
        <v>0</v>
      </c>
      <c r="J139" s="48"/>
    </row>
    <row r="140" spans="1:10" s="49" customFormat="1">
      <c r="A140" s="126"/>
      <c r="B140" s="13"/>
      <c r="C140" s="382"/>
      <c r="D140" s="197"/>
      <c r="E140" s="867"/>
      <c r="F140" s="194"/>
      <c r="G140" s="784"/>
      <c r="H140" s="810"/>
      <c r="I140" s="195"/>
      <c r="J140" s="48"/>
    </row>
    <row r="141" spans="1:10" s="49" customFormat="1" ht="127.5">
      <c r="A141" s="405" t="str">
        <f t="shared" ref="A141:A144" si="10">$C$11</f>
        <v>A2</v>
      </c>
      <c r="B141" s="202" t="str">
        <f t="shared" ref="B141:B144" si="11">$C$65</f>
        <v>1.14.</v>
      </c>
      <c r="C141" s="173" t="s">
        <v>857</v>
      </c>
      <c r="D141" s="239" t="s">
        <v>915</v>
      </c>
      <c r="E141" s="853"/>
      <c r="F141" s="194"/>
      <c r="G141" s="812"/>
      <c r="H141" s="810"/>
      <c r="I141" s="195"/>
      <c r="J141" s="48"/>
    </row>
    <row r="142" spans="1:10" s="49" customFormat="1" ht="25.5">
      <c r="A142" s="126" t="str">
        <f t="shared" si="10"/>
        <v>A2</v>
      </c>
      <c r="B142" s="13" t="str">
        <f t="shared" si="11"/>
        <v>1.14.</v>
      </c>
      <c r="C142" s="173"/>
      <c r="D142" s="239" t="s">
        <v>471</v>
      </c>
      <c r="E142" s="853"/>
      <c r="F142" s="194"/>
      <c r="G142" s="812"/>
      <c r="H142" s="810"/>
      <c r="I142" s="195"/>
      <c r="J142" s="48"/>
    </row>
    <row r="143" spans="1:10" s="49" customFormat="1">
      <c r="A143" s="126" t="str">
        <f t="shared" si="10"/>
        <v>A2</v>
      </c>
      <c r="B143" s="13" t="str">
        <f t="shared" si="11"/>
        <v>1.14.</v>
      </c>
      <c r="C143" s="382"/>
      <c r="D143" s="197" t="s">
        <v>65</v>
      </c>
      <c r="E143" s="867"/>
      <c r="F143" s="194" t="s">
        <v>12</v>
      </c>
      <c r="G143" s="784">
        <f>12+3.16*5*0.15</f>
        <v>14.370000000000001</v>
      </c>
      <c r="H143" s="810"/>
      <c r="I143" s="728">
        <f>G143*H143</f>
        <v>0</v>
      </c>
      <c r="J143" s="48"/>
    </row>
    <row r="144" spans="1:10" s="49" customFormat="1">
      <c r="A144" s="126" t="str">
        <f t="shared" si="10"/>
        <v>A2</v>
      </c>
      <c r="B144" s="13" t="str">
        <f t="shared" si="11"/>
        <v>1.14.</v>
      </c>
      <c r="C144" s="382"/>
      <c r="D144" s="197" t="s">
        <v>66</v>
      </c>
      <c r="E144" s="867"/>
      <c r="F144" s="194" t="s">
        <v>12</v>
      </c>
      <c r="G144" s="784">
        <f>3.16*0.15*5</f>
        <v>2.37</v>
      </c>
      <c r="H144" s="810"/>
      <c r="I144" s="728">
        <f>G144*H144</f>
        <v>0</v>
      </c>
      <c r="J144" s="48"/>
    </row>
    <row r="145" spans="1:10" s="49" customFormat="1">
      <c r="A145" s="126"/>
      <c r="B145" s="13"/>
      <c r="C145" s="382"/>
      <c r="D145" s="197" t="s">
        <v>470</v>
      </c>
      <c r="E145" s="867"/>
      <c r="F145" s="194" t="s">
        <v>46</v>
      </c>
      <c r="G145" s="784">
        <f>G143*0.15*80</f>
        <v>172.44</v>
      </c>
      <c r="H145" s="810"/>
      <c r="I145" s="728">
        <f>G145*H145</f>
        <v>0</v>
      </c>
      <c r="J145" s="48"/>
    </row>
    <row r="146" spans="1:10" s="49" customFormat="1">
      <c r="A146" s="126"/>
      <c r="B146" s="13"/>
      <c r="C146" s="382"/>
      <c r="D146" s="197"/>
      <c r="E146" s="867"/>
      <c r="F146" s="194"/>
      <c r="G146" s="784"/>
      <c r="H146" s="810"/>
      <c r="I146" s="195"/>
      <c r="J146" s="48"/>
    </row>
    <row r="147" spans="1:10" s="49" customFormat="1">
      <c r="A147" s="126"/>
      <c r="B147" s="13"/>
      <c r="C147" s="173" t="s">
        <v>919</v>
      </c>
      <c r="D147" s="198" t="s">
        <v>858</v>
      </c>
      <c r="E147" s="873"/>
      <c r="F147" s="194"/>
      <c r="G147" s="784"/>
      <c r="H147" s="810"/>
      <c r="I147" s="195"/>
      <c r="J147" s="48"/>
    </row>
    <row r="148" spans="1:10" s="49" customFormat="1" ht="127.5">
      <c r="A148" s="126"/>
      <c r="B148" s="13"/>
      <c r="C148" s="173"/>
      <c r="D148" s="239" t="s">
        <v>920</v>
      </c>
      <c r="E148" s="853"/>
      <c r="F148" s="194"/>
      <c r="G148" s="784"/>
      <c r="H148" s="810"/>
      <c r="I148" s="195"/>
      <c r="J148" s="48"/>
    </row>
    <row r="149" spans="1:10" s="49" customFormat="1">
      <c r="A149" s="126" t="str">
        <f t="shared" ref="A149:A150" si="12">$C$11</f>
        <v>A2</v>
      </c>
      <c r="B149" s="13">
        <f t="shared" ref="B149:B150" si="13">$C$128</f>
        <v>3</v>
      </c>
      <c r="C149" s="382"/>
      <c r="D149" s="197" t="s">
        <v>65</v>
      </c>
      <c r="E149" s="867"/>
      <c r="F149" s="194" t="s">
        <v>0</v>
      </c>
      <c r="G149" s="784">
        <f>19.71*0.3*0.35</f>
        <v>2.06955</v>
      </c>
      <c r="H149" s="810"/>
      <c r="I149" s="728">
        <f>G149*H149</f>
        <v>0</v>
      </c>
      <c r="J149" s="48"/>
    </row>
    <row r="150" spans="1:10" s="49" customFormat="1">
      <c r="A150" s="126" t="str">
        <f t="shared" si="12"/>
        <v>A2</v>
      </c>
      <c r="B150" s="13">
        <f t="shared" si="13"/>
        <v>3</v>
      </c>
      <c r="C150" s="382"/>
      <c r="D150" s="197" t="s">
        <v>66</v>
      </c>
      <c r="E150" s="867"/>
      <c r="F150" s="194" t="s">
        <v>12</v>
      </c>
      <c r="G150" s="784">
        <f>19.71*0.3*2</f>
        <v>11.826000000000001</v>
      </c>
      <c r="H150" s="810"/>
      <c r="I150" s="728">
        <f>G150*H150</f>
        <v>0</v>
      </c>
      <c r="J150" s="48"/>
    </row>
    <row r="151" spans="1:10" s="49" customFormat="1">
      <c r="A151" s="126"/>
      <c r="B151" s="13"/>
      <c r="C151" s="382"/>
      <c r="D151" s="197" t="s">
        <v>470</v>
      </c>
      <c r="E151" s="867"/>
      <c r="F151" s="194" t="s">
        <v>46</v>
      </c>
      <c r="G151" s="784">
        <f>G149*50</f>
        <v>103.47750000000001</v>
      </c>
      <c r="H151" s="810"/>
      <c r="I151" s="728">
        <f>G151*H151</f>
        <v>0</v>
      </c>
      <c r="J151" s="48"/>
    </row>
    <row r="152" spans="1:10" s="49" customFormat="1">
      <c r="A152" s="126"/>
      <c r="B152" s="13"/>
      <c r="C152" s="382"/>
      <c r="D152" s="197"/>
      <c r="E152" s="867"/>
      <c r="F152" s="194"/>
      <c r="G152" s="784"/>
      <c r="H152" s="810"/>
      <c r="I152" s="195"/>
      <c r="J152" s="48"/>
    </row>
    <row r="153" spans="1:10" s="49" customFormat="1" ht="140.25">
      <c r="A153" s="405" t="str">
        <f t="shared" ref="A153:A156" si="14">$C$11</f>
        <v>A2</v>
      </c>
      <c r="B153" s="202" t="str">
        <f t="shared" ref="B153:B156" si="15">$C$65</f>
        <v>1.14.</v>
      </c>
      <c r="C153" s="173" t="s">
        <v>921</v>
      </c>
      <c r="D153" s="235" t="s">
        <v>923</v>
      </c>
      <c r="E153" s="896"/>
      <c r="F153" s="194"/>
      <c r="G153" s="812"/>
      <c r="H153" s="810"/>
      <c r="I153" s="195"/>
      <c r="J153" s="48"/>
    </row>
    <row r="154" spans="1:10" s="49" customFormat="1" ht="38.25">
      <c r="A154" s="126" t="str">
        <f t="shared" si="14"/>
        <v>A2</v>
      </c>
      <c r="B154" s="13" t="str">
        <f t="shared" si="15"/>
        <v>1.14.</v>
      </c>
      <c r="C154" s="173"/>
      <c r="D154" s="239" t="s">
        <v>922</v>
      </c>
      <c r="E154" s="853"/>
      <c r="F154" s="194"/>
      <c r="G154" s="812"/>
      <c r="H154" s="810"/>
      <c r="I154" s="195"/>
      <c r="J154" s="48"/>
    </row>
    <row r="155" spans="1:10" s="49" customFormat="1">
      <c r="A155" s="126" t="str">
        <f t="shared" si="14"/>
        <v>A2</v>
      </c>
      <c r="B155" s="13" t="str">
        <f t="shared" si="15"/>
        <v>1.14.</v>
      </c>
      <c r="C155" s="382"/>
      <c r="D155" s="197" t="s">
        <v>65</v>
      </c>
      <c r="E155" s="867"/>
      <c r="F155" s="194" t="s">
        <v>0</v>
      </c>
      <c r="G155" s="784">
        <f>93.34*0.16</f>
        <v>14.9344</v>
      </c>
      <c r="H155" s="810"/>
      <c r="I155" s="728">
        <f t="shared" ref="I155:I156" si="16">G155*H155</f>
        <v>0</v>
      </c>
      <c r="J155" s="48"/>
    </row>
    <row r="156" spans="1:10" s="49" customFormat="1">
      <c r="A156" s="126" t="str">
        <f t="shared" si="14"/>
        <v>A2</v>
      </c>
      <c r="B156" s="13" t="str">
        <f t="shared" si="15"/>
        <v>1.14.</v>
      </c>
      <c r="C156" s="382"/>
      <c r="D156" s="197" t="s">
        <v>918</v>
      </c>
      <c r="E156" s="867"/>
      <c r="F156" s="194" t="s">
        <v>12</v>
      </c>
      <c r="G156" s="812">
        <f>G155*90</f>
        <v>1344.096</v>
      </c>
      <c r="H156" s="810"/>
      <c r="I156" s="728">
        <f t="shared" si="16"/>
        <v>0</v>
      </c>
      <c r="J156" s="48"/>
    </row>
    <row r="157" spans="1:10" s="49" customFormat="1">
      <c r="A157" s="126"/>
      <c r="B157" s="13"/>
      <c r="C157" s="382"/>
      <c r="D157" s="197"/>
      <c r="E157" s="867"/>
      <c r="F157" s="194"/>
      <c r="G157" s="812"/>
      <c r="H157" s="810"/>
      <c r="I157" s="195"/>
      <c r="J157" s="48"/>
    </row>
    <row r="158" spans="1:10" s="49" customFormat="1" ht="229.5">
      <c r="A158" s="126"/>
      <c r="B158" s="13"/>
      <c r="C158" s="173" t="s">
        <v>957</v>
      </c>
      <c r="D158" s="220" t="s">
        <v>958</v>
      </c>
      <c r="E158" s="903"/>
      <c r="F158" s="194"/>
      <c r="G158" s="812"/>
      <c r="H158" s="810"/>
      <c r="I158" s="195"/>
      <c r="J158" s="48"/>
    </row>
    <row r="159" spans="1:10" s="49" customFormat="1">
      <c r="A159" s="126" t="str">
        <f t="shared" ref="A159:A160" si="17">$C$11</f>
        <v>A2</v>
      </c>
      <c r="B159" s="13">
        <f t="shared" ref="B159:B160" si="18">$C$128</f>
        <v>3</v>
      </c>
      <c r="C159" s="382"/>
      <c r="D159" s="197" t="s">
        <v>65</v>
      </c>
      <c r="E159" s="867"/>
      <c r="F159" s="194" t="s">
        <v>0</v>
      </c>
      <c r="G159" s="784">
        <v>3.5</v>
      </c>
      <c r="H159" s="810"/>
      <c r="I159" s="728">
        <f t="shared" ref="I159:I161" si="19">G159*H159</f>
        <v>0</v>
      </c>
      <c r="J159" s="48"/>
    </row>
    <row r="160" spans="1:10" s="49" customFormat="1">
      <c r="A160" s="126" t="str">
        <f t="shared" si="17"/>
        <v>A2</v>
      </c>
      <c r="B160" s="13">
        <f t="shared" si="18"/>
        <v>3</v>
      </c>
      <c r="C160" s="382"/>
      <c r="D160" s="197" t="s">
        <v>66</v>
      </c>
      <c r="E160" s="867"/>
      <c r="F160" s="194" t="s">
        <v>12</v>
      </c>
      <c r="G160" s="784">
        <v>12</v>
      </c>
      <c r="H160" s="810"/>
      <c r="I160" s="728">
        <f t="shared" si="19"/>
        <v>0</v>
      </c>
      <c r="J160" s="48"/>
    </row>
    <row r="161" spans="1:10" s="49" customFormat="1">
      <c r="A161" s="126"/>
      <c r="B161" s="13"/>
      <c r="C161" s="382"/>
      <c r="D161" s="197" t="s">
        <v>470</v>
      </c>
      <c r="E161" s="867"/>
      <c r="F161" s="194" t="s">
        <v>46</v>
      </c>
      <c r="G161" s="784">
        <v>60</v>
      </c>
      <c r="H161" s="810"/>
      <c r="I161" s="728">
        <f t="shared" si="19"/>
        <v>0</v>
      </c>
      <c r="J161" s="48"/>
    </row>
    <row r="162" spans="1:10" s="49" customFormat="1">
      <c r="A162" s="126"/>
      <c r="B162" s="13"/>
      <c r="C162" s="382"/>
      <c r="D162" s="197"/>
      <c r="E162" s="867"/>
      <c r="F162" s="194"/>
      <c r="G162" s="784"/>
      <c r="H162" s="810"/>
      <c r="I162" s="195"/>
      <c r="J162" s="48"/>
    </row>
    <row r="163" spans="1:10" s="49" customFormat="1">
      <c r="A163" s="126" t="str">
        <f t="shared" ref="A163:A224" si="20">$C$11</f>
        <v>A2</v>
      </c>
      <c r="B163" s="13">
        <f t="shared" ref="B163" si="21">$C$128</f>
        <v>3</v>
      </c>
      <c r="C163" s="131">
        <f>C128</f>
        <v>3</v>
      </c>
      <c r="D163" s="119" t="str">
        <f>D128</f>
        <v>BETONSKI I ARMIRANOBETONSKI RADOVI</v>
      </c>
      <c r="E163" s="869"/>
      <c r="F163" s="984" t="s">
        <v>2</v>
      </c>
      <c r="G163" s="798"/>
      <c r="H163" s="799"/>
      <c r="I163" s="153">
        <f>SUM(I131:I162)</f>
        <v>0</v>
      </c>
      <c r="J163" s="48"/>
    </row>
    <row r="164" spans="1:10" s="49" customFormat="1">
      <c r="A164" s="126" t="str">
        <f t="shared" si="20"/>
        <v>A2</v>
      </c>
      <c r="B164" s="13"/>
      <c r="C164" s="130"/>
      <c r="D164" s="59"/>
      <c r="E164" s="870"/>
      <c r="F164" s="985"/>
      <c r="G164" s="800"/>
      <c r="H164" s="797"/>
      <c r="I164" s="144"/>
      <c r="J164" s="48"/>
    </row>
    <row r="165" spans="1:10" s="49" customFormat="1">
      <c r="A165" s="126" t="str">
        <f t="shared" si="20"/>
        <v>A2</v>
      </c>
      <c r="B165" s="13"/>
      <c r="C165" s="132"/>
      <c r="D165" s="44"/>
      <c r="E165" s="871"/>
      <c r="F165" s="848"/>
      <c r="G165" s="352"/>
      <c r="H165" s="797"/>
      <c r="I165" s="144"/>
      <c r="J165" s="48"/>
    </row>
    <row r="166" spans="1:10">
      <c r="A166" s="126" t="str">
        <f t="shared" si="20"/>
        <v>A2</v>
      </c>
      <c r="B166" s="13">
        <f t="shared" ref="B166:B173" si="22">$C$166</f>
        <v>4</v>
      </c>
      <c r="C166" s="125">
        <v>4</v>
      </c>
      <c r="D166" s="120" t="s">
        <v>67</v>
      </c>
      <c r="E166" s="865"/>
      <c r="F166" s="986"/>
      <c r="G166" s="801"/>
      <c r="H166" s="796"/>
      <c r="I166" s="154"/>
    </row>
    <row r="167" spans="1:10">
      <c r="A167" s="126" t="str">
        <f t="shared" si="20"/>
        <v>A2</v>
      </c>
      <c r="B167" s="13">
        <f t="shared" si="22"/>
        <v>4</v>
      </c>
      <c r="C167" s="191"/>
      <c r="D167" s="164"/>
      <c r="E167" s="863"/>
      <c r="F167" s="183"/>
      <c r="G167" s="339"/>
      <c r="H167" s="789"/>
      <c r="I167" s="144"/>
    </row>
    <row r="168" spans="1:10" s="49" customFormat="1" ht="63.75">
      <c r="A168" s="405" t="str">
        <f t="shared" si="20"/>
        <v>A2</v>
      </c>
      <c r="B168" s="202">
        <f t="shared" si="22"/>
        <v>4</v>
      </c>
      <c r="C168" s="201" t="s">
        <v>74</v>
      </c>
      <c r="D168" s="239" t="s">
        <v>472</v>
      </c>
      <c r="E168" s="853"/>
      <c r="F168" s="192"/>
      <c r="G168" s="784"/>
      <c r="H168" s="810"/>
      <c r="I168" s="195"/>
      <c r="J168" s="48"/>
    </row>
    <row r="169" spans="1:10" s="49" customFormat="1">
      <c r="A169" s="405" t="str">
        <f t="shared" si="20"/>
        <v>A2</v>
      </c>
      <c r="B169" s="202">
        <f t="shared" si="22"/>
        <v>4</v>
      </c>
      <c r="C169" s="201"/>
      <c r="D169" s="239" t="s">
        <v>71</v>
      </c>
      <c r="E169" s="853"/>
      <c r="F169" s="192" t="s">
        <v>0</v>
      </c>
      <c r="G169" s="784">
        <f>(3.5*2.5*0.25+2.5*2.5*0.25+1.5*2.5*0.25)*1.5</f>
        <v>7.03125</v>
      </c>
      <c r="H169" s="810"/>
      <c r="I169" s="728">
        <f>G169*H169</f>
        <v>0</v>
      </c>
      <c r="J169" s="48"/>
    </row>
    <row r="170" spans="1:10" s="49" customFormat="1">
      <c r="A170" s="405" t="str">
        <f t="shared" si="20"/>
        <v>A2</v>
      </c>
      <c r="B170" s="202">
        <f t="shared" si="22"/>
        <v>4</v>
      </c>
      <c r="C170" s="202"/>
      <c r="D170" s="198"/>
      <c r="E170" s="873"/>
      <c r="F170" s="192"/>
      <c r="G170" s="790"/>
      <c r="H170" s="810"/>
      <c r="I170" s="195"/>
      <c r="J170" s="48"/>
    </row>
    <row r="171" spans="1:10" s="49" customFormat="1" ht="63.75">
      <c r="A171" s="405" t="str">
        <f t="shared" si="20"/>
        <v>A2</v>
      </c>
      <c r="B171" s="202">
        <f t="shared" si="22"/>
        <v>4</v>
      </c>
      <c r="C171" s="201" t="s">
        <v>75</v>
      </c>
      <c r="D171" s="239" t="s">
        <v>473</v>
      </c>
      <c r="E171" s="853"/>
      <c r="F171" s="192"/>
      <c r="G171" s="784"/>
      <c r="H171" s="810"/>
      <c r="I171" s="195"/>
      <c r="J171" s="48"/>
    </row>
    <row r="172" spans="1:10" s="49" customFormat="1">
      <c r="A172" s="405" t="str">
        <f t="shared" si="20"/>
        <v>A2</v>
      </c>
      <c r="B172" s="202">
        <f t="shared" si="22"/>
        <v>4</v>
      </c>
      <c r="C172" s="201"/>
      <c r="D172" s="239" t="s">
        <v>380</v>
      </c>
      <c r="E172" s="853"/>
      <c r="F172" s="192" t="s">
        <v>12</v>
      </c>
      <c r="G172" s="784">
        <f>13.95*0.9</f>
        <v>12.555</v>
      </c>
      <c r="H172" s="810"/>
      <c r="I172" s="728">
        <f>G172*H172</f>
        <v>0</v>
      </c>
      <c r="J172" s="48"/>
    </row>
    <row r="173" spans="1:10">
      <c r="A173" s="126" t="str">
        <f t="shared" si="20"/>
        <v>A2</v>
      </c>
      <c r="B173" s="13">
        <f t="shared" si="22"/>
        <v>4</v>
      </c>
      <c r="C173" s="202"/>
      <c r="D173" s="198"/>
      <c r="E173" s="873"/>
      <c r="F173" s="192"/>
      <c r="G173" s="784"/>
      <c r="H173" s="810"/>
      <c r="I173" s="195"/>
    </row>
    <row r="174" spans="1:10" ht="38.25">
      <c r="A174" s="126"/>
      <c r="C174" s="201" t="s">
        <v>478</v>
      </c>
      <c r="D174" s="239" t="s">
        <v>477</v>
      </c>
      <c r="E174" s="853"/>
      <c r="F174" s="192"/>
      <c r="G174" s="784"/>
      <c r="H174" s="810"/>
      <c r="I174" s="195"/>
    </row>
    <row r="175" spans="1:10">
      <c r="A175" s="126"/>
      <c r="C175" s="202"/>
      <c r="D175" s="198" t="s">
        <v>476</v>
      </c>
      <c r="E175" s="873"/>
      <c r="F175" s="192" t="s">
        <v>12</v>
      </c>
      <c r="G175" s="784">
        <f>(3.5*2*2.5+2.5*2*2.5+1.6*2.5*2)*1.5+13.95*0.9*2+6.5*2.5+7*2.5</f>
        <v>115.86</v>
      </c>
      <c r="H175" s="810"/>
      <c r="I175" s="728">
        <f>G175*H175</f>
        <v>0</v>
      </c>
    </row>
    <row r="176" spans="1:10">
      <c r="A176" s="126"/>
      <c r="C176" s="202"/>
      <c r="D176" s="198"/>
      <c r="E176" s="873"/>
      <c r="F176" s="192"/>
      <c r="G176" s="784"/>
      <c r="H176" s="810"/>
      <c r="I176" s="195"/>
    </row>
    <row r="177" spans="1:10" ht="63.75">
      <c r="A177" s="126" t="str">
        <f t="shared" si="20"/>
        <v>A2</v>
      </c>
      <c r="B177" s="13">
        <f t="shared" ref="B177:B195" si="23">$C$166</f>
        <v>4</v>
      </c>
      <c r="C177" s="203" t="s">
        <v>76</v>
      </c>
      <c r="D177" s="383" t="s">
        <v>445</v>
      </c>
      <c r="E177" s="874"/>
      <c r="F177" s="170"/>
      <c r="G177" s="784"/>
      <c r="H177" s="914"/>
      <c r="I177" s="195"/>
      <c r="J177" s="15"/>
    </row>
    <row r="178" spans="1:10">
      <c r="A178" s="126" t="str">
        <f t="shared" si="20"/>
        <v>A2</v>
      </c>
      <c r="B178" s="13">
        <f t="shared" si="23"/>
        <v>4</v>
      </c>
      <c r="C178" s="203"/>
      <c r="D178" s="239" t="s">
        <v>446</v>
      </c>
      <c r="E178" s="853"/>
      <c r="F178" s="842" t="s">
        <v>8</v>
      </c>
      <c r="G178" s="784">
        <f>23*2.5</f>
        <v>57.5</v>
      </c>
      <c r="H178" s="914"/>
      <c r="I178" s="728">
        <f>G178*H178</f>
        <v>0</v>
      </c>
      <c r="J178" s="15"/>
    </row>
    <row r="179" spans="1:10">
      <c r="A179" s="126" t="str">
        <f t="shared" si="20"/>
        <v>A2</v>
      </c>
      <c r="B179" s="13">
        <f t="shared" si="23"/>
        <v>4</v>
      </c>
      <c r="C179" s="203"/>
      <c r="D179" s="198"/>
      <c r="E179" s="873"/>
      <c r="F179" s="351"/>
      <c r="G179" s="819"/>
      <c r="I179" s="934"/>
      <c r="J179" s="15"/>
    </row>
    <row r="180" spans="1:10" ht="114.75">
      <c r="A180" s="126" t="str">
        <f t="shared" si="20"/>
        <v>A2</v>
      </c>
      <c r="B180" s="13">
        <f t="shared" si="23"/>
        <v>4</v>
      </c>
      <c r="C180" s="202" t="s">
        <v>77</v>
      </c>
      <c r="D180" s="204" t="s">
        <v>440</v>
      </c>
      <c r="E180" s="875"/>
      <c r="F180" s="192"/>
      <c r="G180" s="784"/>
      <c r="H180" s="810"/>
      <c r="I180" s="935"/>
      <c r="J180" s="15"/>
    </row>
    <row r="181" spans="1:10">
      <c r="A181" s="126" t="str">
        <f t="shared" si="20"/>
        <v>A2</v>
      </c>
      <c r="B181" s="13">
        <f t="shared" si="23"/>
        <v>4</v>
      </c>
      <c r="C181" s="202"/>
      <c r="D181" s="204" t="s">
        <v>439</v>
      </c>
      <c r="E181" s="875"/>
      <c r="F181" s="192" t="s">
        <v>12</v>
      </c>
      <c r="G181" s="784">
        <f>+'MAPA 1-ISKAZ KOLIČINA'!AI31</f>
        <v>173.18</v>
      </c>
      <c r="H181" s="810"/>
      <c r="I181" s="728">
        <f>G181*H181</f>
        <v>0</v>
      </c>
      <c r="J181" s="15"/>
    </row>
    <row r="182" spans="1:10">
      <c r="A182" s="126" t="str">
        <f t="shared" si="20"/>
        <v>A2</v>
      </c>
      <c r="B182" s="13">
        <f t="shared" si="23"/>
        <v>4</v>
      </c>
      <c r="C182" s="206"/>
      <c r="D182" s="204"/>
      <c r="E182" s="875"/>
      <c r="F182" s="192"/>
      <c r="G182" s="784"/>
      <c r="H182" s="810"/>
      <c r="I182" s="193"/>
      <c r="J182" s="15"/>
    </row>
    <row r="183" spans="1:10" ht="63.75">
      <c r="A183" s="126" t="str">
        <f t="shared" si="20"/>
        <v>A2</v>
      </c>
      <c r="B183" s="13">
        <f t="shared" si="23"/>
        <v>4</v>
      </c>
      <c r="C183" s="202" t="s">
        <v>78</v>
      </c>
      <c r="D183" s="239" t="s">
        <v>766</v>
      </c>
      <c r="E183" s="853"/>
      <c r="F183" s="192"/>
      <c r="G183" s="784"/>
      <c r="H183" s="810"/>
      <c r="I183" s="195"/>
      <c r="J183" s="15"/>
    </row>
    <row r="184" spans="1:10">
      <c r="A184" s="126" t="str">
        <f t="shared" si="20"/>
        <v>A2</v>
      </c>
      <c r="B184" s="13">
        <f t="shared" si="23"/>
        <v>4</v>
      </c>
      <c r="C184" s="202"/>
      <c r="D184" s="204" t="s">
        <v>441</v>
      </c>
      <c r="E184" s="875"/>
      <c r="F184" s="192" t="s">
        <v>12</v>
      </c>
      <c r="G184" s="784">
        <f>G181</f>
        <v>173.18</v>
      </c>
      <c r="H184" s="810"/>
      <c r="I184" s="728">
        <f>G184*H184</f>
        <v>0</v>
      </c>
      <c r="J184" s="15"/>
    </row>
    <row r="185" spans="1:10">
      <c r="A185" s="126" t="str">
        <f t="shared" si="20"/>
        <v>A2</v>
      </c>
      <c r="B185" s="13">
        <f t="shared" si="23"/>
        <v>4</v>
      </c>
      <c r="C185" s="202"/>
      <c r="D185" s="187"/>
      <c r="E185" s="864"/>
      <c r="F185" s="192"/>
      <c r="G185" s="784"/>
      <c r="H185" s="810"/>
      <c r="I185" s="195"/>
      <c r="J185" s="15"/>
    </row>
    <row r="186" spans="1:10" ht="51">
      <c r="A186" s="126"/>
      <c r="C186" s="202" t="s">
        <v>480</v>
      </c>
      <c r="D186" s="239" t="s">
        <v>995</v>
      </c>
      <c r="E186" s="853"/>
      <c r="F186" s="192"/>
      <c r="G186" s="784"/>
      <c r="H186" s="810"/>
      <c r="I186" s="195"/>
      <c r="J186" s="15"/>
    </row>
    <row r="187" spans="1:10">
      <c r="A187" s="126"/>
      <c r="C187" s="202"/>
      <c r="D187" s="204" t="s">
        <v>996</v>
      </c>
      <c r="E187" s="875"/>
      <c r="F187" s="192" t="s">
        <v>12</v>
      </c>
      <c r="G187" s="784">
        <f>G181</f>
        <v>173.18</v>
      </c>
      <c r="H187" s="810"/>
      <c r="I187" s="728">
        <f>G187*H187</f>
        <v>0</v>
      </c>
      <c r="J187" s="15"/>
    </row>
    <row r="188" spans="1:10">
      <c r="A188" s="126"/>
      <c r="C188" s="202"/>
      <c r="D188" s="187"/>
      <c r="E188" s="864"/>
      <c r="F188" s="192"/>
      <c r="G188" s="784"/>
      <c r="H188" s="810"/>
      <c r="I188" s="195"/>
      <c r="J188" s="15"/>
    </row>
    <row r="189" spans="1:10" ht="38.25">
      <c r="A189" s="126" t="str">
        <f t="shared" si="20"/>
        <v>A2</v>
      </c>
      <c r="B189" s="13">
        <f t="shared" si="23"/>
        <v>4</v>
      </c>
      <c r="C189" s="202" t="s">
        <v>481</v>
      </c>
      <c r="D189" s="239" t="s">
        <v>479</v>
      </c>
      <c r="E189" s="853"/>
      <c r="F189" s="192"/>
      <c r="G189" s="784"/>
      <c r="H189" s="810"/>
      <c r="I189" s="195"/>
      <c r="J189" s="15"/>
    </row>
    <row r="190" spans="1:10">
      <c r="A190" s="126" t="str">
        <f t="shared" si="20"/>
        <v>A2</v>
      </c>
      <c r="B190" s="13">
        <f t="shared" si="23"/>
        <v>4</v>
      </c>
      <c r="C190" s="202"/>
      <c r="D190" s="204" t="s">
        <v>441</v>
      </c>
      <c r="E190" s="875"/>
      <c r="F190" s="192" t="s">
        <v>12</v>
      </c>
      <c r="G190" s="784">
        <f>71.9*0.9</f>
        <v>64.710000000000008</v>
      </c>
      <c r="H190" s="810"/>
      <c r="I190" s="728">
        <f>G190*H190</f>
        <v>0</v>
      </c>
      <c r="J190" s="15"/>
    </row>
    <row r="191" spans="1:10">
      <c r="A191" s="126" t="str">
        <f t="shared" si="20"/>
        <v>A2</v>
      </c>
      <c r="B191" s="13">
        <f t="shared" si="23"/>
        <v>4</v>
      </c>
      <c r="C191" s="202"/>
      <c r="D191" s="187"/>
      <c r="E191" s="864"/>
      <c r="F191" s="192"/>
      <c r="G191" s="784"/>
      <c r="H191" s="810"/>
      <c r="I191" s="195"/>
      <c r="J191" s="15"/>
    </row>
    <row r="192" spans="1:10" ht="25.5">
      <c r="A192" s="126" t="str">
        <f t="shared" si="20"/>
        <v>A2</v>
      </c>
      <c r="B192" s="13">
        <f t="shared" si="23"/>
        <v>4</v>
      </c>
      <c r="C192" s="202" t="s">
        <v>482</v>
      </c>
      <c r="D192" s="239" t="s">
        <v>765</v>
      </c>
      <c r="E192" s="853"/>
      <c r="F192" s="192"/>
      <c r="G192" s="784"/>
      <c r="H192" s="810"/>
      <c r="I192" s="195"/>
      <c r="J192" s="15"/>
    </row>
    <row r="193" spans="1:10">
      <c r="A193" s="126"/>
      <c r="C193" s="202"/>
      <c r="D193" s="204" t="s">
        <v>767</v>
      </c>
      <c r="E193" s="875"/>
      <c r="F193" s="192" t="s">
        <v>12</v>
      </c>
      <c r="G193" s="784">
        <f>G184</f>
        <v>173.18</v>
      </c>
      <c r="H193" s="810"/>
      <c r="I193" s="728">
        <f>G193*H193</f>
        <v>0</v>
      </c>
      <c r="J193" s="15"/>
    </row>
    <row r="194" spans="1:10">
      <c r="A194" s="126"/>
      <c r="C194" s="202"/>
      <c r="D194" s="355"/>
      <c r="E194" s="955"/>
      <c r="F194" s="192"/>
      <c r="G194" s="784"/>
      <c r="H194" s="810"/>
      <c r="I194" s="195"/>
      <c r="J194" s="15"/>
    </row>
    <row r="195" spans="1:10" ht="25.5">
      <c r="A195" s="126" t="str">
        <f t="shared" si="20"/>
        <v>A2</v>
      </c>
      <c r="B195" s="13">
        <f t="shared" si="23"/>
        <v>4</v>
      </c>
      <c r="C195" s="202" t="s">
        <v>79</v>
      </c>
      <c r="D195" s="356" t="s">
        <v>769</v>
      </c>
      <c r="E195" s="880"/>
      <c r="F195" s="351"/>
      <c r="G195" s="819"/>
      <c r="I195" s="934"/>
      <c r="J195" s="15"/>
    </row>
    <row r="196" spans="1:10">
      <c r="A196" s="126"/>
      <c r="C196" s="202"/>
      <c r="D196" s="356" t="s">
        <v>382</v>
      </c>
      <c r="E196" s="880"/>
      <c r="F196" s="192" t="s">
        <v>12</v>
      </c>
      <c r="G196" s="784">
        <f>G190</f>
        <v>64.710000000000008</v>
      </c>
      <c r="H196" s="810"/>
      <c r="I196" s="728">
        <f>G196*H196</f>
        <v>0</v>
      </c>
      <c r="J196" s="15"/>
    </row>
    <row r="197" spans="1:10">
      <c r="A197" s="126" t="str">
        <f t="shared" si="20"/>
        <v>A2</v>
      </c>
      <c r="B197" s="13">
        <f t="shared" ref="B197" si="24">$C$166</f>
        <v>4</v>
      </c>
      <c r="C197" s="202"/>
      <c r="D197" s="398"/>
      <c r="E197" s="956"/>
      <c r="F197" s="192"/>
      <c r="G197" s="784"/>
      <c r="H197" s="810"/>
      <c r="I197" s="195"/>
      <c r="J197" s="15"/>
    </row>
    <row r="198" spans="1:10" ht="25.5">
      <c r="A198" s="126" t="str">
        <f t="shared" si="20"/>
        <v>A2</v>
      </c>
      <c r="B198" s="13">
        <f t="shared" ref="B198:B210" si="25">$C$166</f>
        <v>4</v>
      </c>
      <c r="C198" s="202" t="s">
        <v>785</v>
      </c>
      <c r="D198" s="356" t="s">
        <v>70</v>
      </c>
      <c r="E198" s="880"/>
      <c r="F198" s="192"/>
      <c r="G198" s="784"/>
      <c r="H198" s="809"/>
      <c r="I198" s="193"/>
      <c r="J198" s="15"/>
    </row>
    <row r="199" spans="1:10">
      <c r="A199" s="126" t="str">
        <f t="shared" si="20"/>
        <v>A2</v>
      </c>
      <c r="B199" s="13">
        <f t="shared" si="25"/>
        <v>4</v>
      </c>
      <c r="C199" s="202"/>
      <c r="D199" s="239" t="s">
        <v>72</v>
      </c>
      <c r="E199" s="853"/>
      <c r="F199" s="192" t="s">
        <v>56</v>
      </c>
      <c r="G199" s="784">
        <v>200</v>
      </c>
      <c r="H199" s="810"/>
      <c r="I199" s="728">
        <f>G199*H199</f>
        <v>0</v>
      </c>
      <c r="J199" s="15"/>
    </row>
    <row r="200" spans="1:10">
      <c r="A200" s="126" t="str">
        <f t="shared" si="20"/>
        <v>A2</v>
      </c>
      <c r="B200" s="13">
        <f t="shared" si="25"/>
        <v>4</v>
      </c>
      <c r="C200" s="191"/>
      <c r="D200" s="200"/>
      <c r="E200" s="957"/>
      <c r="F200" s="183"/>
      <c r="G200" s="339"/>
      <c r="H200" s="789"/>
      <c r="I200" s="144"/>
      <c r="J200" s="15"/>
    </row>
    <row r="201" spans="1:10" ht="25.5">
      <c r="A201" s="126"/>
      <c r="C201" s="353" t="s">
        <v>813</v>
      </c>
      <c r="D201" s="346" t="s">
        <v>808</v>
      </c>
      <c r="E201" s="958"/>
      <c r="F201" s="183"/>
      <c r="G201" s="339"/>
      <c r="H201" s="789"/>
      <c r="I201" s="144"/>
      <c r="J201" s="15"/>
    </row>
    <row r="202" spans="1:10">
      <c r="A202" s="126"/>
      <c r="C202" s="191"/>
      <c r="D202" s="200" t="s">
        <v>667</v>
      </c>
      <c r="E202" s="957"/>
      <c r="F202" s="183" t="s">
        <v>12</v>
      </c>
      <c r="G202" s="339">
        <f>G175</f>
        <v>115.86</v>
      </c>
      <c r="H202" s="789"/>
      <c r="I202" s="728">
        <f>G202*H202</f>
        <v>0</v>
      </c>
      <c r="J202" s="15"/>
    </row>
    <row r="203" spans="1:10">
      <c r="A203" s="126"/>
      <c r="C203" s="191"/>
      <c r="D203" s="200"/>
      <c r="E203" s="957"/>
      <c r="F203" s="183"/>
      <c r="G203" s="339"/>
      <c r="H203" s="789"/>
      <c r="I203" s="144"/>
      <c r="J203" s="15"/>
    </row>
    <row r="204" spans="1:10" ht="114.75">
      <c r="A204" s="126" t="str">
        <f t="shared" si="20"/>
        <v>A2</v>
      </c>
      <c r="B204" s="13">
        <f t="shared" si="25"/>
        <v>4</v>
      </c>
      <c r="C204" s="354" t="s">
        <v>997</v>
      </c>
      <c r="D204" s="180" t="s">
        <v>60</v>
      </c>
      <c r="E204" s="857"/>
      <c r="F204" s="177"/>
      <c r="G204" s="786"/>
      <c r="H204" s="787"/>
      <c r="I204" s="159"/>
      <c r="J204" s="15"/>
    </row>
    <row r="205" spans="1:10">
      <c r="A205" s="126" t="str">
        <f t="shared" si="20"/>
        <v>A2</v>
      </c>
      <c r="B205" s="13">
        <f t="shared" si="25"/>
        <v>4</v>
      </c>
      <c r="C205" s="130"/>
      <c r="D205" s="162" t="s">
        <v>61</v>
      </c>
      <c r="E205" s="882"/>
      <c r="F205" s="177"/>
      <c r="G205" s="786"/>
      <c r="H205" s="787"/>
      <c r="I205" s="159"/>
      <c r="J205" s="15"/>
    </row>
    <row r="206" spans="1:10">
      <c r="A206" s="126" t="str">
        <f t="shared" si="20"/>
        <v>A2</v>
      </c>
      <c r="B206" s="13">
        <f t="shared" si="25"/>
        <v>4</v>
      </c>
      <c r="C206" s="179"/>
      <c r="D206" s="236" t="s">
        <v>57</v>
      </c>
      <c r="E206" s="881"/>
      <c r="F206" s="183" t="s">
        <v>58</v>
      </c>
      <c r="G206" s="401">
        <v>50</v>
      </c>
      <c r="H206" s="788"/>
      <c r="I206" s="728">
        <f t="shared" ref="I206:I208" si="26">G206*H206</f>
        <v>0</v>
      </c>
      <c r="J206" s="15"/>
    </row>
    <row r="207" spans="1:10">
      <c r="A207" s="126" t="str">
        <f t="shared" si="20"/>
        <v>A2</v>
      </c>
      <c r="B207" s="13">
        <f t="shared" si="25"/>
        <v>4</v>
      </c>
      <c r="C207" s="179"/>
      <c r="D207" s="236" t="s">
        <v>444</v>
      </c>
      <c r="E207" s="881"/>
      <c r="F207" s="183" t="s">
        <v>58</v>
      </c>
      <c r="G207" s="401">
        <v>50</v>
      </c>
      <c r="H207" s="788"/>
      <c r="I207" s="728">
        <f t="shared" si="26"/>
        <v>0</v>
      </c>
      <c r="J207" s="15"/>
    </row>
    <row r="208" spans="1:10">
      <c r="A208" s="126"/>
      <c r="C208" s="179"/>
      <c r="D208" s="236" t="s">
        <v>443</v>
      </c>
      <c r="E208" s="881"/>
      <c r="F208" s="183" t="s">
        <v>58</v>
      </c>
      <c r="G208" s="401">
        <v>50</v>
      </c>
      <c r="H208" s="788"/>
      <c r="I208" s="728">
        <f t="shared" si="26"/>
        <v>0</v>
      </c>
      <c r="J208" s="15"/>
    </row>
    <row r="209" spans="1:10">
      <c r="A209" s="126" t="str">
        <f t="shared" si="20"/>
        <v>A2</v>
      </c>
      <c r="B209" s="13">
        <f t="shared" si="25"/>
        <v>4</v>
      </c>
      <c r="C209" s="132"/>
      <c r="D209" s="62"/>
      <c r="E209" s="904"/>
      <c r="F209" s="395"/>
      <c r="G209" s="223"/>
      <c r="H209" s="797"/>
      <c r="I209" s="144"/>
      <c r="J209" s="15"/>
    </row>
    <row r="210" spans="1:10">
      <c r="A210" s="126" t="str">
        <f t="shared" si="20"/>
        <v>A2</v>
      </c>
      <c r="B210" s="13">
        <f t="shared" si="25"/>
        <v>4</v>
      </c>
      <c r="C210" s="131">
        <f>C166</f>
        <v>4</v>
      </c>
      <c r="D210" s="119" t="str">
        <f>D166</f>
        <v>ZIDARSKI RADOVI</v>
      </c>
      <c r="E210" s="869"/>
      <c r="F210" s="984" t="s">
        <v>2</v>
      </c>
      <c r="G210" s="798"/>
      <c r="H210" s="799"/>
      <c r="I210" s="730">
        <f>SUM(I168:I209)</f>
        <v>0</v>
      </c>
      <c r="J210" s="15"/>
    </row>
    <row r="211" spans="1:10">
      <c r="A211" s="126" t="str">
        <f t="shared" si="20"/>
        <v>A2</v>
      </c>
      <c r="C211" s="130"/>
      <c r="D211" s="59"/>
      <c r="E211" s="870"/>
      <c r="F211" s="985"/>
      <c r="G211" s="800"/>
      <c r="H211" s="797"/>
      <c r="I211" s="144"/>
      <c r="J211" s="15"/>
    </row>
    <row r="212" spans="1:10">
      <c r="A212" s="126"/>
      <c r="C212" s="132"/>
      <c r="D212" s="44"/>
      <c r="E212" s="871"/>
      <c r="F212" s="848"/>
      <c r="H212" s="797"/>
      <c r="I212" s="144"/>
      <c r="J212" s="15"/>
    </row>
    <row r="213" spans="1:10">
      <c r="A213" s="126" t="str">
        <f t="shared" si="20"/>
        <v>A2</v>
      </c>
      <c r="B213" s="13">
        <v>5</v>
      </c>
      <c r="C213" s="125">
        <v>5</v>
      </c>
      <c r="D213" s="120" t="s">
        <v>80</v>
      </c>
      <c r="E213" s="865"/>
      <c r="F213" s="986"/>
      <c r="G213" s="801"/>
      <c r="H213" s="796"/>
      <c r="I213" s="154"/>
      <c r="J213" s="15"/>
    </row>
    <row r="214" spans="1:10">
      <c r="A214" s="126" t="str">
        <f t="shared" si="20"/>
        <v>A2</v>
      </c>
      <c r="B214" s="13">
        <v>5</v>
      </c>
      <c r="E214" s="883"/>
      <c r="F214" s="848"/>
      <c r="H214" s="797"/>
      <c r="I214" s="144"/>
      <c r="J214" s="15"/>
    </row>
    <row r="215" spans="1:10" ht="38.25">
      <c r="A215" s="126" t="str">
        <f t="shared" si="20"/>
        <v>A2</v>
      </c>
      <c r="B215" s="13">
        <v>5</v>
      </c>
      <c r="C215" s="202" t="s">
        <v>68</v>
      </c>
      <c r="D215" s="180" t="s">
        <v>992</v>
      </c>
      <c r="E215" s="857"/>
      <c r="F215" s="192"/>
      <c r="G215" s="802"/>
      <c r="H215" s="803"/>
      <c r="I215" s="936"/>
      <c r="J215" s="15"/>
    </row>
    <row r="216" spans="1:10" ht="102">
      <c r="A216" s="126"/>
      <c r="C216" s="202"/>
      <c r="D216" s="180" t="s">
        <v>768</v>
      </c>
      <c r="E216" s="857"/>
      <c r="F216" s="192"/>
      <c r="G216" s="802"/>
      <c r="H216" s="803"/>
      <c r="I216" s="936"/>
      <c r="J216" s="15"/>
    </row>
    <row r="217" spans="1:10">
      <c r="A217" s="126" t="str">
        <f t="shared" si="20"/>
        <v>A2</v>
      </c>
      <c r="B217" s="13">
        <v>5</v>
      </c>
      <c r="C217" s="188"/>
      <c r="D217" s="198" t="s">
        <v>448</v>
      </c>
      <c r="E217" s="873"/>
      <c r="F217" s="194" t="s">
        <v>12</v>
      </c>
      <c r="G217" s="784">
        <f>G184*1.1</f>
        <v>190.49800000000002</v>
      </c>
      <c r="H217" s="809"/>
      <c r="I217" s="728">
        <f t="shared" ref="I217" si="27">G217*H217</f>
        <v>0</v>
      </c>
      <c r="J217" s="15"/>
    </row>
    <row r="218" spans="1:10">
      <c r="A218" s="126" t="str">
        <f t="shared" si="20"/>
        <v>A2</v>
      </c>
      <c r="B218" s="13">
        <v>5</v>
      </c>
      <c r="C218" s="188"/>
      <c r="D218" s="199"/>
      <c r="E218" s="884"/>
      <c r="F218" s="194"/>
      <c r="G218" s="802"/>
      <c r="H218" s="809"/>
      <c r="I218" s="936"/>
      <c r="J218" s="15"/>
    </row>
    <row r="219" spans="1:10" ht="38.25">
      <c r="A219" s="126" t="str">
        <f t="shared" si="20"/>
        <v>A2</v>
      </c>
      <c r="B219" s="13">
        <v>5</v>
      </c>
      <c r="C219" s="202" t="s">
        <v>69</v>
      </c>
      <c r="D219" s="180" t="s">
        <v>811</v>
      </c>
      <c r="E219" s="857"/>
      <c r="F219" s="194"/>
      <c r="G219" s="802"/>
      <c r="H219" s="809"/>
      <c r="I219" s="936"/>
      <c r="J219" s="15"/>
    </row>
    <row r="220" spans="1:10" ht="89.25">
      <c r="A220" s="126" t="str">
        <f t="shared" si="20"/>
        <v>A2</v>
      </c>
      <c r="B220" s="13">
        <v>5</v>
      </c>
      <c r="C220" s="188"/>
      <c r="D220" s="180" t="s">
        <v>384</v>
      </c>
      <c r="E220" s="857"/>
      <c r="F220" s="351"/>
      <c r="G220" s="819"/>
      <c r="I220" s="934"/>
      <c r="J220" s="15"/>
    </row>
    <row r="221" spans="1:10">
      <c r="A221" s="126" t="str">
        <f t="shared" si="20"/>
        <v>A2</v>
      </c>
      <c r="B221" s="13">
        <v>5</v>
      </c>
      <c r="C221" s="188"/>
      <c r="D221" s="198" t="s">
        <v>449</v>
      </c>
      <c r="E221" s="873"/>
      <c r="F221" s="194" t="s">
        <v>12</v>
      </c>
      <c r="G221" s="784">
        <f>G196*1.1</f>
        <v>71.181000000000012</v>
      </c>
      <c r="H221" s="809"/>
      <c r="I221" s="728">
        <f t="shared" ref="I221" si="28">G221*H221</f>
        <v>0</v>
      </c>
      <c r="J221" s="15"/>
    </row>
    <row r="222" spans="1:10">
      <c r="A222" s="126"/>
      <c r="C222" s="188"/>
      <c r="D222" s="198"/>
      <c r="E222" s="873"/>
      <c r="F222" s="194"/>
      <c r="G222" s="784"/>
      <c r="H222" s="809"/>
      <c r="I222" s="193"/>
      <c r="J222" s="15"/>
    </row>
    <row r="223" spans="1:10" ht="242.25">
      <c r="A223" s="126" t="str">
        <f t="shared" si="20"/>
        <v>A2</v>
      </c>
      <c r="B223" s="13">
        <v>5</v>
      </c>
      <c r="C223" s="202" t="s">
        <v>487</v>
      </c>
      <c r="D223" s="180" t="s">
        <v>812</v>
      </c>
      <c r="E223" s="857"/>
      <c r="F223" s="848"/>
      <c r="H223" s="797"/>
      <c r="I223" s="144"/>
      <c r="J223" s="15"/>
    </row>
    <row r="224" spans="1:10">
      <c r="A224" s="126" t="str">
        <f t="shared" si="20"/>
        <v>A2</v>
      </c>
      <c r="B224" s="13">
        <v>5</v>
      </c>
      <c r="C224" s="188"/>
      <c r="D224" s="198" t="s">
        <v>809</v>
      </c>
      <c r="E224" s="873"/>
      <c r="F224" s="194" t="s">
        <v>12</v>
      </c>
      <c r="G224" s="784">
        <f>0.9*1+0.7*1+1.2*1</f>
        <v>2.8</v>
      </c>
      <c r="H224" s="809"/>
      <c r="I224" s="728">
        <f t="shared" ref="I224" si="29">G224*H224</f>
        <v>0</v>
      </c>
      <c r="J224" s="15"/>
    </row>
    <row r="225" spans="1:10">
      <c r="A225" s="126"/>
      <c r="D225" s="350"/>
      <c r="E225" s="959"/>
      <c r="F225" s="848"/>
      <c r="H225" s="797"/>
      <c r="I225" s="144"/>
      <c r="J225" s="15"/>
    </row>
    <row r="226" spans="1:10" ht="38.25">
      <c r="A226" s="126"/>
      <c r="C226" s="349" t="s">
        <v>671</v>
      </c>
      <c r="D226" s="64" t="s">
        <v>972</v>
      </c>
      <c r="E226" s="883"/>
      <c r="F226" s="848"/>
      <c r="H226" s="797"/>
      <c r="I226" s="144"/>
      <c r="J226" s="15"/>
    </row>
    <row r="227" spans="1:10">
      <c r="A227" s="126"/>
      <c r="D227" s="365" t="s">
        <v>928</v>
      </c>
      <c r="E227" s="960"/>
      <c r="F227" s="848"/>
      <c r="H227" s="797"/>
      <c r="I227" s="144"/>
      <c r="J227" s="15"/>
    </row>
    <row r="228" spans="1:10">
      <c r="A228" s="126"/>
      <c r="D228" s="365" t="s">
        <v>929</v>
      </c>
      <c r="E228" s="960"/>
      <c r="F228" s="848"/>
      <c r="H228" s="797"/>
      <c r="I228" s="144"/>
      <c r="J228" s="15"/>
    </row>
    <row r="229" spans="1:10" ht="25.5">
      <c r="A229" s="126"/>
      <c r="D229" s="365" t="s">
        <v>930</v>
      </c>
      <c r="E229" s="960"/>
      <c r="F229" s="848"/>
      <c r="H229" s="797"/>
      <c r="I229" s="144"/>
      <c r="J229" s="15"/>
    </row>
    <row r="230" spans="1:10">
      <c r="A230" s="126"/>
      <c r="D230" s="365" t="s">
        <v>931</v>
      </c>
      <c r="E230" s="960"/>
      <c r="F230" s="848"/>
      <c r="H230" s="797"/>
      <c r="I230" s="144"/>
      <c r="J230" s="15"/>
    </row>
    <row r="231" spans="1:10">
      <c r="A231" s="126"/>
      <c r="D231" s="365" t="s">
        <v>932</v>
      </c>
      <c r="E231" s="960"/>
      <c r="F231" s="848"/>
      <c r="H231" s="797"/>
      <c r="I231" s="144"/>
      <c r="J231" s="15"/>
    </row>
    <row r="232" spans="1:10" ht="25.5">
      <c r="A232" s="126"/>
      <c r="D232" s="365" t="s">
        <v>935</v>
      </c>
      <c r="E232" s="960"/>
      <c r="F232" s="848"/>
      <c r="H232" s="797"/>
      <c r="I232" s="144"/>
      <c r="J232" s="15"/>
    </row>
    <row r="233" spans="1:10">
      <c r="A233" s="126"/>
      <c r="D233" s="64" t="s">
        <v>787</v>
      </c>
      <c r="E233" s="883"/>
      <c r="F233" s="848" t="s">
        <v>12</v>
      </c>
      <c r="G233" s="352">
        <f>G181</f>
        <v>173.18</v>
      </c>
      <c r="H233" s="797"/>
      <c r="I233" s="728">
        <f t="shared" ref="I233" si="30">G233*H233</f>
        <v>0</v>
      </c>
      <c r="J233" s="15"/>
    </row>
    <row r="234" spans="1:10">
      <c r="A234" s="126"/>
      <c r="E234" s="883"/>
      <c r="F234" s="848"/>
      <c r="H234" s="797"/>
      <c r="I234" s="144"/>
      <c r="J234" s="15"/>
    </row>
    <row r="235" spans="1:10" ht="63.75">
      <c r="A235" s="126"/>
      <c r="C235" s="349" t="s">
        <v>796</v>
      </c>
      <c r="D235" s="64" t="s">
        <v>933</v>
      </c>
      <c r="E235" s="883"/>
      <c r="F235" s="848"/>
      <c r="H235" s="797"/>
      <c r="I235" s="144"/>
      <c r="J235" s="15"/>
    </row>
    <row r="236" spans="1:10">
      <c r="A236" s="126"/>
      <c r="D236" s="64" t="s">
        <v>488</v>
      </c>
      <c r="E236" s="883"/>
      <c r="F236" s="848" t="s">
        <v>12</v>
      </c>
      <c r="G236" s="790">
        <v>414.6</v>
      </c>
      <c r="H236" s="797"/>
      <c r="I236" s="728">
        <f t="shared" ref="I236" si="31">G236*H236</f>
        <v>0</v>
      </c>
      <c r="J236" s="15"/>
    </row>
    <row r="237" spans="1:10">
      <c r="A237" s="126"/>
      <c r="E237" s="883"/>
      <c r="F237" s="848"/>
      <c r="H237" s="797"/>
      <c r="I237" s="193"/>
      <c r="J237" s="15"/>
    </row>
    <row r="238" spans="1:10">
      <c r="A238" s="126"/>
      <c r="E238" s="883"/>
      <c r="F238" s="848"/>
      <c r="H238" s="797"/>
      <c r="I238" s="144"/>
      <c r="J238" s="15"/>
    </row>
    <row r="239" spans="1:10">
      <c r="A239" s="126" t="str">
        <f t="shared" ref="A239:A539" si="32">$C$11</f>
        <v>A2</v>
      </c>
      <c r="B239" s="13">
        <v>5</v>
      </c>
      <c r="C239" s="131">
        <f>C213</f>
        <v>5</v>
      </c>
      <c r="D239" s="119" t="str">
        <f>D213</f>
        <v>IZOLATERSKI RADOVI</v>
      </c>
      <c r="E239" s="869"/>
      <c r="F239" s="984" t="s">
        <v>2</v>
      </c>
      <c r="G239" s="798"/>
      <c r="H239" s="799"/>
      <c r="I239" s="153">
        <f>SUM(I215:I238)</f>
        <v>0</v>
      </c>
      <c r="J239" s="15"/>
    </row>
    <row r="240" spans="1:10">
      <c r="A240" s="126" t="str">
        <f t="shared" si="32"/>
        <v>A2</v>
      </c>
      <c r="C240" s="65"/>
      <c r="D240" s="66"/>
      <c r="E240" s="886"/>
      <c r="F240" s="848"/>
      <c r="H240" s="797"/>
      <c r="I240" s="144"/>
      <c r="J240" s="15"/>
    </row>
    <row r="241" spans="1:10">
      <c r="A241" s="126" t="str">
        <f t="shared" si="32"/>
        <v>A2</v>
      </c>
      <c r="C241" s="132"/>
      <c r="D241" s="44"/>
      <c r="E241" s="871"/>
      <c r="F241" s="848"/>
      <c r="H241" s="797"/>
      <c r="I241" s="144"/>
      <c r="J241" s="15"/>
    </row>
    <row r="242" spans="1:10">
      <c r="A242" s="126" t="str">
        <f t="shared" si="32"/>
        <v>A2</v>
      </c>
      <c r="B242" s="13">
        <v>6</v>
      </c>
      <c r="C242" s="125">
        <v>6</v>
      </c>
      <c r="D242" s="120" t="s">
        <v>82</v>
      </c>
      <c r="E242" s="865"/>
      <c r="F242" s="986"/>
      <c r="G242" s="801"/>
      <c r="H242" s="796"/>
      <c r="I242" s="154"/>
      <c r="J242" s="15"/>
    </row>
    <row r="243" spans="1:10">
      <c r="A243" s="126" t="str">
        <f t="shared" si="32"/>
        <v>A2</v>
      </c>
      <c r="B243" s="13">
        <v>6</v>
      </c>
      <c r="C243" s="155"/>
      <c r="D243" s="156"/>
      <c r="E243" s="887"/>
      <c r="F243" s="987"/>
      <c r="G243" s="804"/>
      <c r="H243" s="797"/>
      <c r="I243" s="144"/>
      <c r="J243" s="15"/>
    </row>
    <row r="244" spans="1:10" ht="76.5">
      <c r="A244" s="126" t="str">
        <f t="shared" si="32"/>
        <v>A2</v>
      </c>
      <c r="B244" s="13">
        <v>6</v>
      </c>
      <c r="C244" s="202" t="s">
        <v>73</v>
      </c>
      <c r="D244" s="180" t="s">
        <v>1095</v>
      </c>
      <c r="E244" s="857"/>
      <c r="F244" s="987"/>
      <c r="G244" s="804"/>
      <c r="H244" s="797"/>
      <c r="I244" s="144"/>
      <c r="J244" s="15"/>
    </row>
    <row r="245" spans="1:10" ht="204">
      <c r="A245" s="126" t="str">
        <f t="shared" si="32"/>
        <v>A2</v>
      </c>
      <c r="B245" s="13">
        <v>6</v>
      </c>
      <c r="C245" s="65"/>
      <c r="D245" s="399" t="s">
        <v>1064</v>
      </c>
      <c r="E245" s="961"/>
      <c r="F245" s="848"/>
      <c r="H245" s="797"/>
      <c r="I245" s="144"/>
      <c r="J245" s="15"/>
    </row>
    <row r="246" spans="1:10" ht="25.5">
      <c r="A246" s="126" t="str">
        <f t="shared" si="32"/>
        <v>A2</v>
      </c>
      <c r="B246" s="13">
        <v>6</v>
      </c>
      <c r="C246" s="65"/>
      <c r="D246" s="58" t="s">
        <v>450</v>
      </c>
      <c r="E246" s="888"/>
      <c r="F246" s="848"/>
      <c r="H246" s="797"/>
      <c r="I246" s="144"/>
      <c r="J246" s="15"/>
    </row>
    <row r="247" spans="1:10">
      <c r="A247" s="126" t="str">
        <f t="shared" si="32"/>
        <v>A2</v>
      </c>
      <c r="B247" s="13">
        <v>6</v>
      </c>
      <c r="C247" s="202"/>
      <c r="D247" s="199" t="s">
        <v>451</v>
      </c>
      <c r="E247" s="884"/>
      <c r="F247" s="192" t="s">
        <v>12</v>
      </c>
      <c r="G247" s="352">
        <f>(2.78*71.76+11.95-(5.6+3.75+3.5+3.3+2.6)*1.5)*1.1</f>
        <v>201.64957999999999</v>
      </c>
      <c r="H247" s="810"/>
      <c r="I247" s="728">
        <f t="shared" ref="I247" si="33">G247*H247</f>
        <v>0</v>
      </c>
      <c r="J247" s="15"/>
    </row>
    <row r="248" spans="1:10">
      <c r="A248" s="126" t="str">
        <f t="shared" si="32"/>
        <v>A2</v>
      </c>
      <c r="B248" s="13">
        <v>6</v>
      </c>
      <c r="C248" s="202"/>
      <c r="D248" s="199"/>
      <c r="E248" s="884"/>
      <c r="F248" s="192"/>
      <c r="G248" s="710"/>
      <c r="H248" s="810"/>
      <c r="I248" s="195"/>
      <c r="J248" s="15"/>
    </row>
    <row r="249" spans="1:10" ht="25.5">
      <c r="A249" s="126"/>
      <c r="C249" s="202" t="s">
        <v>83</v>
      </c>
      <c r="D249" s="199" t="s">
        <v>483</v>
      </c>
      <c r="E249" s="884"/>
      <c r="F249" s="192"/>
      <c r="G249" s="710"/>
      <c r="H249" s="810"/>
      <c r="I249" s="195"/>
      <c r="J249" s="15"/>
    </row>
    <row r="250" spans="1:10">
      <c r="A250" s="126"/>
      <c r="C250" s="202"/>
      <c r="D250" s="199" t="s">
        <v>451</v>
      </c>
      <c r="E250" s="884"/>
      <c r="F250" s="192" t="s">
        <v>12</v>
      </c>
      <c r="G250" s="710">
        <v>73.180000000000007</v>
      </c>
      <c r="H250" s="810"/>
      <c r="I250" s="728">
        <f t="shared" ref="I250" si="34">G250*H250</f>
        <v>0</v>
      </c>
      <c r="J250" s="15"/>
    </row>
    <row r="251" spans="1:10">
      <c r="A251" s="126"/>
      <c r="C251" s="202"/>
      <c r="D251" s="199"/>
      <c r="E251" s="884"/>
      <c r="F251" s="192"/>
      <c r="G251" s="710"/>
      <c r="H251" s="810"/>
      <c r="I251" s="195"/>
      <c r="J251" s="15"/>
    </row>
    <row r="252" spans="1:10" ht="51">
      <c r="A252" s="126" t="str">
        <f t="shared" si="32"/>
        <v>A2</v>
      </c>
      <c r="B252" s="13">
        <v>6</v>
      </c>
      <c r="C252" s="202" t="s">
        <v>84</v>
      </c>
      <c r="D252" s="199" t="s">
        <v>452</v>
      </c>
      <c r="E252" s="884"/>
      <c r="F252" s="192"/>
      <c r="G252" s="784"/>
      <c r="H252" s="789"/>
      <c r="I252" s="937"/>
      <c r="J252" s="15"/>
    </row>
    <row r="253" spans="1:10">
      <c r="A253" s="126" t="str">
        <f t="shared" si="32"/>
        <v>A2</v>
      </c>
      <c r="B253" s="13">
        <v>6</v>
      </c>
      <c r="C253" s="202"/>
      <c r="D253" s="199" t="s">
        <v>757</v>
      </c>
      <c r="E253" s="884"/>
      <c r="F253" s="192" t="s">
        <v>8</v>
      </c>
      <c r="G253" s="710">
        <f>+'MAPA 1-ISKAZ KOLIČINA'!CA31</f>
        <v>70</v>
      </c>
      <c r="H253" s="810"/>
      <c r="I253" s="728">
        <f t="shared" ref="I253" si="35">G253*H253</f>
        <v>0</v>
      </c>
      <c r="J253" s="15"/>
    </row>
    <row r="254" spans="1:10">
      <c r="A254" s="126" t="str">
        <f t="shared" si="32"/>
        <v>A2</v>
      </c>
      <c r="B254" s="13">
        <v>6</v>
      </c>
      <c r="C254" s="202"/>
      <c r="D254" s="199"/>
      <c r="E254" s="884"/>
      <c r="F254" s="192"/>
      <c r="G254" s="710"/>
      <c r="H254" s="810"/>
      <c r="I254" s="195"/>
      <c r="J254" s="15"/>
    </row>
    <row r="255" spans="1:10" ht="102">
      <c r="A255" s="126" t="str">
        <f t="shared" si="32"/>
        <v>A2</v>
      </c>
      <c r="B255" s="13">
        <v>6</v>
      </c>
      <c r="C255" s="202" t="s">
        <v>484</v>
      </c>
      <c r="D255" s="199" t="s">
        <v>788</v>
      </c>
      <c r="E255" s="884"/>
      <c r="F255" s="351"/>
      <c r="G255" s="819"/>
      <c r="H255" s="915"/>
      <c r="I255" s="934"/>
    </row>
    <row r="256" spans="1:10">
      <c r="A256" s="126" t="str">
        <f t="shared" si="32"/>
        <v>A2</v>
      </c>
      <c r="B256" s="13">
        <v>6</v>
      </c>
      <c r="C256" s="65"/>
      <c r="D256" s="199" t="s">
        <v>453</v>
      </c>
      <c r="E256" s="884"/>
      <c r="F256" s="192" t="s">
        <v>12</v>
      </c>
      <c r="G256" s="784">
        <f>71.9*2.7</f>
        <v>194.13000000000002</v>
      </c>
      <c r="H256" s="810"/>
      <c r="I256" s="728">
        <f t="shared" ref="I256" si="36">G256*H256</f>
        <v>0</v>
      </c>
    </row>
    <row r="257" spans="1:11">
      <c r="A257" s="126" t="str">
        <f t="shared" si="32"/>
        <v>A2</v>
      </c>
      <c r="B257" s="13">
        <v>6</v>
      </c>
      <c r="E257" s="883"/>
      <c r="F257" s="848"/>
      <c r="H257" s="797"/>
      <c r="I257" s="144"/>
    </row>
    <row r="258" spans="1:11">
      <c r="A258" s="126" t="str">
        <f t="shared" si="32"/>
        <v>A2</v>
      </c>
      <c r="B258" s="13">
        <v>6</v>
      </c>
      <c r="C258" s="131">
        <f>C242</f>
        <v>6</v>
      </c>
      <c r="D258" s="119" t="str">
        <f>D242</f>
        <v>FASADERSKI RADOVI</v>
      </c>
      <c r="E258" s="869"/>
      <c r="F258" s="984" t="s">
        <v>2</v>
      </c>
      <c r="G258" s="798"/>
      <c r="H258" s="799"/>
      <c r="I258" s="153">
        <f>SUM(I245:I257)</f>
        <v>0</v>
      </c>
    </row>
    <row r="259" spans="1:11">
      <c r="A259" s="126"/>
      <c r="C259" s="155"/>
      <c r="D259" s="156"/>
      <c r="E259" s="887"/>
      <c r="F259" s="988"/>
      <c r="H259" s="797"/>
      <c r="I259" s="145"/>
    </row>
    <row r="260" spans="1:11">
      <c r="A260" s="126" t="str">
        <f t="shared" si="32"/>
        <v>A2</v>
      </c>
      <c r="C260" s="65"/>
      <c r="D260" s="66"/>
      <c r="E260" s="886"/>
      <c r="F260" s="848"/>
      <c r="H260" s="797"/>
      <c r="I260" s="144"/>
    </row>
    <row r="261" spans="1:11">
      <c r="A261" s="126" t="str">
        <f t="shared" si="32"/>
        <v>A2</v>
      </c>
      <c r="B261" s="13">
        <v>7</v>
      </c>
      <c r="C261" s="125">
        <v>7</v>
      </c>
      <c r="D261" s="120" t="s">
        <v>489</v>
      </c>
      <c r="E261" s="865"/>
      <c r="F261" s="986"/>
      <c r="G261" s="801"/>
      <c r="H261" s="796"/>
      <c r="I261" s="154"/>
    </row>
    <row r="262" spans="1:11">
      <c r="A262" s="126" t="str">
        <f t="shared" si="32"/>
        <v>A2</v>
      </c>
      <c r="B262" s="13">
        <v>7</v>
      </c>
      <c r="C262" s="65"/>
      <c r="D262" s="156"/>
      <c r="E262" s="887"/>
      <c r="F262" s="848"/>
      <c r="H262" s="797"/>
      <c r="I262" s="144"/>
    </row>
    <row r="263" spans="1:11" ht="25.5">
      <c r="A263" s="126" t="str">
        <f t="shared" si="32"/>
        <v>A2</v>
      </c>
      <c r="B263" s="13">
        <v>7</v>
      </c>
      <c r="C263" s="202" t="s">
        <v>797</v>
      </c>
      <c r="D263" s="162" t="s">
        <v>831</v>
      </c>
      <c r="E263" s="882"/>
      <c r="F263" s="989"/>
      <c r="G263" s="951"/>
      <c r="H263" s="807"/>
      <c r="I263" s="329"/>
      <c r="J263"/>
      <c r="K263" s="230"/>
    </row>
    <row r="264" spans="1:11">
      <c r="A264" s="126"/>
      <c r="C264" s="202"/>
      <c r="D264" s="255" t="s">
        <v>490</v>
      </c>
      <c r="E264" s="891"/>
      <c r="F264" s="989"/>
      <c r="G264" s="951"/>
      <c r="H264" s="807"/>
      <c r="I264" s="329"/>
      <c r="J264"/>
      <c r="K264" s="230"/>
    </row>
    <row r="265" spans="1:11" ht="38.25">
      <c r="A265" s="126"/>
      <c r="C265" s="202"/>
      <c r="D265" s="255" t="s">
        <v>772</v>
      </c>
      <c r="E265" s="891"/>
      <c r="F265" s="989"/>
      <c r="G265" s="951"/>
      <c r="H265" s="807"/>
      <c r="I265" s="329"/>
      <c r="J265"/>
      <c r="K265" s="230"/>
    </row>
    <row r="266" spans="1:11" ht="25.5">
      <c r="A266" s="126"/>
      <c r="C266" s="202"/>
      <c r="D266" s="255" t="s">
        <v>773</v>
      </c>
      <c r="E266" s="891"/>
      <c r="F266" s="989"/>
      <c r="G266" s="951"/>
      <c r="H266" s="807"/>
      <c r="I266" s="329"/>
      <c r="J266"/>
      <c r="K266" s="230"/>
    </row>
    <row r="267" spans="1:11" ht="25.5">
      <c r="A267" s="126"/>
      <c r="C267" s="202"/>
      <c r="D267" s="343" t="s">
        <v>771</v>
      </c>
      <c r="E267" s="892"/>
      <c r="F267" s="989"/>
      <c r="G267" s="951"/>
      <c r="H267" s="807"/>
      <c r="I267" s="329"/>
      <c r="J267"/>
      <c r="K267" s="230"/>
    </row>
    <row r="268" spans="1:11">
      <c r="A268" s="126"/>
      <c r="C268" s="202"/>
      <c r="D268" s="255" t="s">
        <v>490</v>
      </c>
      <c r="E268" s="891"/>
      <c r="F268" s="989"/>
      <c r="G268" s="951"/>
      <c r="H268" s="807"/>
      <c r="I268" s="329"/>
      <c r="J268"/>
      <c r="K268" s="230"/>
    </row>
    <row r="269" spans="1:11" ht="51">
      <c r="A269" s="126"/>
      <c r="C269" s="202"/>
      <c r="D269" s="343" t="s">
        <v>1083</v>
      </c>
      <c r="E269" s="892"/>
      <c r="F269" s="989"/>
      <c r="G269" s="951"/>
      <c r="H269" s="807"/>
      <c r="I269" s="329"/>
      <c r="J269"/>
      <c r="K269" s="230"/>
    </row>
    <row r="270" spans="1:11">
      <c r="A270" s="126"/>
      <c r="C270" s="231"/>
      <c r="D270" s="239" t="s">
        <v>491</v>
      </c>
      <c r="E270" s="853"/>
      <c r="F270" s="351" t="s">
        <v>12</v>
      </c>
      <c r="G270" s="784">
        <f>440.73</f>
        <v>440.73</v>
      </c>
      <c r="H270" s="797"/>
      <c r="I270" s="728">
        <f t="shared" ref="I270" si="37">G270*H270</f>
        <v>0</v>
      </c>
      <c r="J270" s="232"/>
      <c r="K270" s="233"/>
    </row>
    <row r="271" spans="1:11">
      <c r="A271" s="126" t="s">
        <v>5</v>
      </c>
      <c r="B271" s="13">
        <v>7</v>
      </c>
      <c r="D271" s="220"/>
      <c r="E271" s="903"/>
      <c r="F271" s="848"/>
      <c r="G271" s="223"/>
      <c r="H271" s="797"/>
      <c r="I271" s="144"/>
    </row>
    <row r="272" spans="1:11">
      <c r="A272" s="126" t="s">
        <v>5</v>
      </c>
      <c r="B272" s="13">
        <v>7</v>
      </c>
      <c r="C272" s="131">
        <f>C261</f>
        <v>7</v>
      </c>
      <c r="D272" s="119" t="str">
        <f>D261</f>
        <v>KROVOPOKRIVAČKI RADOVI</v>
      </c>
      <c r="E272" s="869"/>
      <c r="F272" s="984" t="s">
        <v>2</v>
      </c>
      <c r="G272" s="798"/>
      <c r="H272" s="799"/>
      <c r="I272" s="153">
        <f>SUM(I270:I271)</f>
        <v>0</v>
      </c>
    </row>
    <row r="273" spans="1:10">
      <c r="A273" s="126"/>
      <c r="C273" s="155"/>
      <c r="D273" s="156"/>
      <c r="E273" s="887"/>
      <c r="F273" s="988"/>
      <c r="H273" s="797"/>
      <c r="I273" s="145"/>
    </row>
    <row r="274" spans="1:10">
      <c r="A274" s="126"/>
      <c r="C274" s="155"/>
      <c r="D274" s="156"/>
      <c r="E274" s="887"/>
      <c r="F274" s="988"/>
      <c r="H274" s="797"/>
      <c r="I274" s="145"/>
    </row>
    <row r="275" spans="1:10">
      <c r="A275" s="126" t="str">
        <f t="shared" si="32"/>
        <v>A2</v>
      </c>
      <c r="B275" s="13">
        <v>8</v>
      </c>
      <c r="C275" s="125">
        <v>8</v>
      </c>
      <c r="D275" s="120" t="s">
        <v>387</v>
      </c>
      <c r="E275" s="865"/>
      <c r="F275" s="986"/>
      <c r="G275" s="801"/>
      <c r="H275" s="796"/>
      <c r="I275" s="154"/>
      <c r="J275" s="15"/>
    </row>
    <row r="276" spans="1:10">
      <c r="A276" s="126"/>
      <c r="C276" s="155"/>
      <c r="D276" s="156"/>
      <c r="E276" s="887"/>
      <c r="F276" s="987"/>
      <c r="G276" s="804"/>
      <c r="H276" s="797"/>
      <c r="I276" s="144"/>
      <c r="J276" s="15"/>
    </row>
    <row r="277" spans="1:10" ht="89.25">
      <c r="A277" s="126" t="str">
        <f t="shared" si="32"/>
        <v>A2</v>
      </c>
      <c r="B277" s="13">
        <v>8</v>
      </c>
      <c r="C277" s="202" t="s">
        <v>81</v>
      </c>
      <c r="D277" s="204" t="s">
        <v>927</v>
      </c>
      <c r="E277" s="875"/>
      <c r="F277" s="987"/>
      <c r="G277" s="804"/>
      <c r="H277" s="797"/>
      <c r="I277" s="144"/>
      <c r="J277" s="15"/>
    </row>
    <row r="278" spans="1:10">
      <c r="A278" s="126" t="str">
        <f t="shared" si="32"/>
        <v>A2</v>
      </c>
      <c r="B278" s="13">
        <v>8</v>
      </c>
      <c r="C278" s="155"/>
      <c r="D278" s="204" t="s">
        <v>382</v>
      </c>
      <c r="E278" s="875"/>
      <c r="F278" s="990" t="s">
        <v>12</v>
      </c>
      <c r="G278" s="804">
        <v>142.28</v>
      </c>
      <c r="H278" s="797"/>
      <c r="I278" s="728">
        <f t="shared" ref="I278" si="38">G278*H278</f>
        <v>0</v>
      </c>
      <c r="J278" s="15"/>
    </row>
    <row r="279" spans="1:10">
      <c r="A279" s="126"/>
      <c r="C279" s="155"/>
      <c r="D279" s="156"/>
      <c r="E279" s="887"/>
      <c r="F279" s="987"/>
      <c r="G279" s="804"/>
      <c r="H279" s="797"/>
      <c r="I279" s="144"/>
      <c r="J279" s="15"/>
    </row>
    <row r="280" spans="1:10" ht="89.25">
      <c r="A280" s="126"/>
      <c r="C280" s="202" t="s">
        <v>426</v>
      </c>
      <c r="D280" s="204" t="s">
        <v>810</v>
      </c>
      <c r="E280" s="875"/>
      <c r="F280" s="987"/>
      <c r="G280" s="804"/>
      <c r="H280" s="797"/>
      <c r="I280" s="144"/>
      <c r="J280" s="15"/>
    </row>
    <row r="281" spans="1:10">
      <c r="A281" s="126" t="str">
        <f t="shared" si="32"/>
        <v>A2</v>
      </c>
      <c r="B281" s="13">
        <v>8</v>
      </c>
      <c r="C281" s="155"/>
      <c r="D281" s="204" t="s">
        <v>382</v>
      </c>
      <c r="E281" s="875"/>
      <c r="F281" s="990" t="s">
        <v>12</v>
      </c>
      <c r="G281" s="804">
        <v>7.74</v>
      </c>
      <c r="H281" s="797"/>
      <c r="I281" s="728">
        <f t="shared" ref="I281" si="39">G281*H281</f>
        <v>0</v>
      </c>
      <c r="J281" s="15"/>
    </row>
    <row r="282" spans="1:10">
      <c r="A282" s="126" t="str">
        <f t="shared" si="32"/>
        <v>A2</v>
      </c>
      <c r="B282" s="13">
        <v>8</v>
      </c>
      <c r="C282" s="155"/>
      <c r="D282" s="156"/>
      <c r="E282" s="887"/>
      <c r="F282" s="987"/>
      <c r="G282" s="804"/>
      <c r="H282" s="797"/>
      <c r="I282" s="144"/>
      <c r="J282" s="15"/>
    </row>
    <row r="283" spans="1:10" ht="127.5">
      <c r="A283" s="126" t="str">
        <f t="shared" si="32"/>
        <v>A2</v>
      </c>
      <c r="B283" s="13">
        <v>8</v>
      </c>
      <c r="C283" s="202" t="s">
        <v>677</v>
      </c>
      <c r="D283" s="204" t="s">
        <v>425</v>
      </c>
      <c r="E283" s="875"/>
      <c r="F283" s="192"/>
      <c r="G283" s="819"/>
      <c r="I283" s="934"/>
      <c r="J283" s="15"/>
    </row>
    <row r="284" spans="1:10">
      <c r="A284" s="126" t="str">
        <f t="shared" si="32"/>
        <v>A2</v>
      </c>
      <c r="B284" s="13">
        <v>8</v>
      </c>
      <c r="C284" s="202"/>
      <c r="D284" s="204" t="s">
        <v>382</v>
      </c>
      <c r="E284" s="875"/>
      <c r="F284" s="192" t="s">
        <v>12</v>
      </c>
      <c r="G284" s="784">
        <f>2*1.5*0.9</f>
        <v>2.7</v>
      </c>
      <c r="H284" s="809"/>
      <c r="I284" s="728">
        <f t="shared" ref="I284" si="40">G284*H284</f>
        <v>0</v>
      </c>
      <c r="J284" s="15"/>
    </row>
    <row r="285" spans="1:10">
      <c r="A285" s="126" t="str">
        <f t="shared" si="32"/>
        <v>A2</v>
      </c>
      <c r="B285" s="13">
        <v>8</v>
      </c>
      <c r="C285" s="202"/>
      <c r="D285" s="204"/>
      <c r="E285" s="875"/>
      <c r="F285" s="192"/>
      <c r="G285" s="784"/>
      <c r="H285" s="809"/>
      <c r="I285" s="47"/>
      <c r="J285" s="15"/>
    </row>
    <row r="286" spans="1:10" ht="25.5">
      <c r="A286" s="126" t="str">
        <f t="shared" si="32"/>
        <v>A2</v>
      </c>
      <c r="B286" s="13">
        <v>8</v>
      </c>
      <c r="C286" s="202" t="s">
        <v>679</v>
      </c>
      <c r="D286" s="204" t="s">
        <v>934</v>
      </c>
      <c r="E286" s="875"/>
      <c r="F286" s="192"/>
      <c r="G286" s="784"/>
      <c r="H286" s="809"/>
      <c r="I286" s="47"/>
      <c r="J286" s="15"/>
    </row>
    <row r="287" spans="1:10">
      <c r="A287" s="126" t="str">
        <f t="shared" si="32"/>
        <v>A2</v>
      </c>
      <c r="B287" s="13">
        <v>8</v>
      </c>
      <c r="C287" s="202"/>
      <c r="D287" s="204" t="s">
        <v>382</v>
      </c>
      <c r="E287" s="875"/>
      <c r="F287" s="192" t="s">
        <v>12</v>
      </c>
      <c r="G287" s="784">
        <v>414.6</v>
      </c>
      <c r="H287" s="809"/>
      <c r="I287" s="728">
        <f t="shared" ref="I287" si="41">G287*H287</f>
        <v>0</v>
      </c>
      <c r="J287" s="15"/>
    </row>
    <row r="288" spans="1:10">
      <c r="A288" s="126" t="str">
        <f t="shared" si="32"/>
        <v>A2</v>
      </c>
      <c r="B288" s="13">
        <v>8</v>
      </c>
      <c r="C288" s="202"/>
      <c r="D288" s="204"/>
      <c r="E288" s="875"/>
      <c r="F288" s="192"/>
      <c r="G288" s="784"/>
      <c r="H288" s="809"/>
      <c r="I288" s="47"/>
      <c r="J288" s="15"/>
    </row>
    <row r="289" spans="1:10" ht="216.75">
      <c r="A289" s="126" t="str">
        <f t="shared" si="32"/>
        <v>A2</v>
      </c>
      <c r="B289" s="13">
        <v>8</v>
      </c>
      <c r="C289" s="202" t="s">
        <v>680</v>
      </c>
      <c r="D289" s="204" t="s">
        <v>1049</v>
      </c>
      <c r="E289" s="875"/>
      <c r="F289" s="192"/>
      <c r="G289" s="784"/>
      <c r="H289" s="809"/>
      <c r="I289" s="47"/>
      <c r="J289" s="15"/>
    </row>
    <row r="290" spans="1:10">
      <c r="A290" s="126" t="str">
        <f t="shared" si="32"/>
        <v>A2</v>
      </c>
      <c r="B290" s="13">
        <v>8</v>
      </c>
      <c r="C290" s="202"/>
      <c r="D290" s="204" t="s">
        <v>382</v>
      </c>
      <c r="E290" s="875"/>
      <c r="F290" s="192" t="s">
        <v>12</v>
      </c>
      <c r="G290" s="784">
        <f>168.47</f>
        <v>168.47</v>
      </c>
      <c r="H290" s="809"/>
      <c r="I290" s="728">
        <f t="shared" ref="I290" si="42">G290*H290</f>
        <v>0</v>
      </c>
      <c r="J290" s="15"/>
    </row>
    <row r="291" spans="1:10">
      <c r="A291" s="126"/>
      <c r="C291" s="202"/>
      <c r="D291" s="204"/>
      <c r="E291" s="875"/>
      <c r="F291" s="192"/>
      <c r="G291" s="784"/>
      <c r="H291" s="809"/>
      <c r="I291" s="47"/>
      <c r="J291" s="15"/>
    </row>
    <row r="292" spans="1:10" ht="38.25">
      <c r="A292" s="126" t="str">
        <f t="shared" si="32"/>
        <v>A2</v>
      </c>
      <c r="B292" s="13">
        <v>8</v>
      </c>
      <c r="C292" s="202" t="s">
        <v>681</v>
      </c>
      <c r="D292" s="204" t="s">
        <v>801</v>
      </c>
      <c r="E292" s="875"/>
      <c r="F292" s="192"/>
      <c r="G292" s="784"/>
      <c r="H292" s="809"/>
      <c r="I292" s="47"/>
      <c r="J292" s="15"/>
    </row>
    <row r="293" spans="1:10">
      <c r="A293" s="126"/>
      <c r="C293" s="202"/>
      <c r="D293" s="204" t="s">
        <v>803</v>
      </c>
      <c r="E293" s="875"/>
      <c r="F293" s="192" t="s">
        <v>11</v>
      </c>
      <c r="G293" s="784">
        <v>1</v>
      </c>
      <c r="H293" s="809"/>
      <c r="I293" s="728">
        <f t="shared" ref="I293:I294" si="43">G293*H293</f>
        <v>0</v>
      </c>
      <c r="J293" s="15"/>
    </row>
    <row r="294" spans="1:10">
      <c r="A294" s="126"/>
      <c r="C294" s="202"/>
      <c r="D294" s="204" t="s">
        <v>802</v>
      </c>
      <c r="E294" s="875"/>
      <c r="F294" s="192" t="s">
        <v>11</v>
      </c>
      <c r="G294" s="784">
        <v>1</v>
      </c>
      <c r="H294" s="809"/>
      <c r="I294" s="728">
        <f t="shared" si="43"/>
        <v>0</v>
      </c>
      <c r="J294" s="15"/>
    </row>
    <row r="295" spans="1:10">
      <c r="A295" s="126"/>
      <c r="C295" s="202"/>
      <c r="D295" s="204"/>
      <c r="E295" s="875"/>
      <c r="F295" s="192"/>
      <c r="G295" s="784"/>
      <c r="H295" s="809"/>
      <c r="I295" s="47">
        <f>SUM(I276:I294)</f>
        <v>0</v>
      </c>
      <c r="J295" s="15"/>
    </row>
    <row r="296" spans="1:10">
      <c r="A296" s="126"/>
      <c r="C296" s="202" t="s">
        <v>759</v>
      </c>
      <c r="D296" s="204" t="s">
        <v>859</v>
      </c>
      <c r="E296" s="875"/>
      <c r="F296" s="192"/>
      <c r="G296" s="784"/>
      <c r="H296" s="809"/>
      <c r="I296" s="47"/>
      <c r="J296" s="15"/>
    </row>
    <row r="297" spans="1:10" ht="25.5">
      <c r="A297" s="126"/>
      <c r="C297" s="202"/>
      <c r="D297" s="204" t="s">
        <v>860</v>
      </c>
      <c r="E297" s="875"/>
      <c r="F297" s="192"/>
      <c r="G297" s="784"/>
      <c r="H297" s="809"/>
      <c r="I297" s="47"/>
      <c r="J297" s="15"/>
    </row>
    <row r="298" spans="1:10">
      <c r="A298" s="126"/>
      <c r="C298" s="202"/>
      <c r="D298" s="204" t="s">
        <v>861</v>
      </c>
      <c r="E298" s="875"/>
      <c r="F298" s="192"/>
      <c r="G298" s="784"/>
      <c r="H298" s="809"/>
      <c r="I298" s="47"/>
      <c r="J298" s="15"/>
    </row>
    <row r="299" spans="1:10">
      <c r="A299" s="126"/>
      <c r="C299" s="202"/>
      <c r="D299" s="204" t="s">
        <v>862</v>
      </c>
      <c r="E299" s="875"/>
      <c r="F299" s="192"/>
      <c r="G299" s="784"/>
      <c r="H299" s="809"/>
      <c r="I299" s="47"/>
      <c r="J299" s="15"/>
    </row>
    <row r="300" spans="1:10" ht="25.5">
      <c r="A300" s="126"/>
      <c r="C300" s="202"/>
      <c r="D300" s="204" t="s">
        <v>863</v>
      </c>
      <c r="E300" s="875"/>
      <c r="F300" s="192"/>
      <c r="G300" s="784"/>
      <c r="H300" s="809"/>
      <c r="I300" s="47"/>
      <c r="J300" s="15"/>
    </row>
    <row r="301" spans="1:10" ht="25.5">
      <c r="A301" s="126"/>
      <c r="C301" s="202"/>
      <c r="D301" s="204" t="s">
        <v>864</v>
      </c>
      <c r="E301" s="875"/>
      <c r="F301" s="192"/>
      <c r="G301" s="784"/>
      <c r="H301" s="809"/>
      <c r="I301" s="47"/>
      <c r="J301" s="15"/>
    </row>
    <row r="302" spans="1:10" ht="25.5">
      <c r="A302" s="126"/>
      <c r="C302" s="202"/>
      <c r="D302" s="204" t="s">
        <v>865</v>
      </c>
      <c r="E302" s="875"/>
      <c r="F302" s="192"/>
      <c r="G302" s="784"/>
      <c r="H302" s="809"/>
      <c r="I302" s="47"/>
      <c r="J302" s="15"/>
    </row>
    <row r="303" spans="1:10">
      <c r="A303" s="126"/>
      <c r="C303" s="202"/>
      <c r="D303" s="204" t="s">
        <v>866</v>
      </c>
      <c r="E303" s="875"/>
      <c r="F303" s="192"/>
      <c r="G303" s="784"/>
      <c r="H303" s="809"/>
      <c r="I303" s="47"/>
      <c r="J303" s="15"/>
    </row>
    <row r="304" spans="1:10">
      <c r="A304" s="126"/>
      <c r="C304" s="202"/>
      <c r="D304" s="204" t="s">
        <v>868</v>
      </c>
      <c r="E304" s="875"/>
      <c r="F304" s="192" t="s">
        <v>11</v>
      </c>
      <c r="G304" s="784">
        <v>3</v>
      </c>
      <c r="H304" s="809"/>
      <c r="I304" s="728">
        <f t="shared" ref="I304:I305" si="44">G304*H304</f>
        <v>0</v>
      </c>
      <c r="J304" s="15"/>
    </row>
    <row r="305" spans="1:10">
      <c r="A305" s="126"/>
      <c r="C305" s="202"/>
      <c r="D305" s="204" t="s">
        <v>867</v>
      </c>
      <c r="E305" s="875"/>
      <c r="F305" s="192" t="s">
        <v>11</v>
      </c>
      <c r="G305" s="784">
        <v>3</v>
      </c>
      <c r="H305" s="809"/>
      <c r="I305" s="728">
        <f t="shared" si="44"/>
        <v>0</v>
      </c>
      <c r="J305" s="15"/>
    </row>
    <row r="306" spans="1:10">
      <c r="A306" s="126"/>
      <c r="C306" s="202"/>
      <c r="D306" s="204"/>
      <c r="E306" s="875"/>
      <c r="F306" s="192"/>
      <c r="G306" s="784"/>
      <c r="H306" s="809"/>
      <c r="I306" s="47"/>
      <c r="J306" s="15"/>
    </row>
    <row r="307" spans="1:10" ht="38.25">
      <c r="A307" s="126" t="str">
        <f t="shared" si="32"/>
        <v>A2</v>
      </c>
      <c r="B307" s="13">
        <v>8</v>
      </c>
      <c r="C307" s="202" t="s">
        <v>800</v>
      </c>
      <c r="D307" s="204" t="s">
        <v>984</v>
      </c>
      <c r="E307" s="875"/>
      <c r="F307" s="192"/>
      <c r="G307" s="784"/>
      <c r="H307" s="809"/>
      <c r="I307" s="47"/>
      <c r="J307" s="15"/>
    </row>
    <row r="308" spans="1:10">
      <c r="A308" s="126"/>
      <c r="C308" s="202"/>
      <c r="D308" s="204" t="s">
        <v>382</v>
      </c>
      <c r="E308" s="875"/>
      <c r="F308" s="192" t="s">
        <v>12</v>
      </c>
      <c r="G308" s="784">
        <f>5.5*0.9+0.15*0.9*2*5.5+5.5*0.1+5.5*0.2</f>
        <v>8.0850000000000009</v>
      </c>
      <c r="H308" s="809"/>
      <c r="I308" s="728">
        <f t="shared" ref="I308" si="45">G308*H308</f>
        <v>0</v>
      </c>
      <c r="J308" s="15"/>
    </row>
    <row r="309" spans="1:10">
      <c r="A309" s="126"/>
      <c r="C309" s="202"/>
      <c r="D309" s="204"/>
      <c r="E309" s="875"/>
      <c r="F309" s="192"/>
      <c r="G309" s="784"/>
      <c r="H309" s="809"/>
      <c r="I309" s="47"/>
      <c r="J309" s="15"/>
    </row>
    <row r="310" spans="1:10">
      <c r="A310" s="126" t="str">
        <f t="shared" si="32"/>
        <v>A2</v>
      </c>
      <c r="B310" s="13">
        <v>8</v>
      </c>
      <c r="C310" s="131">
        <v>8</v>
      </c>
      <c r="D310" s="119" t="s">
        <v>387</v>
      </c>
      <c r="E310" s="869"/>
      <c r="F310" s="984"/>
      <c r="G310" s="798"/>
      <c r="H310" s="799"/>
      <c r="I310" s="153">
        <f>SUM(I298:I309)</f>
        <v>0</v>
      </c>
      <c r="J310" s="15"/>
    </row>
    <row r="311" spans="1:10">
      <c r="A311" s="126"/>
      <c r="C311" s="155"/>
      <c r="D311" s="156"/>
      <c r="E311" s="887"/>
      <c r="F311" s="988"/>
      <c r="H311" s="797"/>
      <c r="I311" s="145"/>
      <c r="J311" s="15"/>
    </row>
    <row r="312" spans="1:10">
      <c r="A312" s="126"/>
      <c r="C312" s="155"/>
      <c r="D312" s="156"/>
      <c r="E312" s="887"/>
      <c r="F312" s="988"/>
      <c r="H312" s="797"/>
      <c r="I312" s="145"/>
      <c r="J312" s="15"/>
    </row>
    <row r="313" spans="1:10">
      <c r="A313" s="126" t="str">
        <f t="shared" si="32"/>
        <v>A2</v>
      </c>
      <c r="B313" s="13">
        <v>9</v>
      </c>
      <c r="C313" s="125">
        <v>9</v>
      </c>
      <c r="D313" s="120" t="s">
        <v>86</v>
      </c>
      <c r="E313" s="865"/>
      <c r="F313" s="986"/>
      <c r="G313" s="801"/>
      <c r="H313" s="796"/>
      <c r="I313" s="154"/>
      <c r="J313" s="15"/>
    </row>
    <row r="314" spans="1:10">
      <c r="A314" s="126" t="str">
        <f t="shared" si="32"/>
        <v>A2</v>
      </c>
      <c r="B314" s="13">
        <v>9</v>
      </c>
      <c r="C314" s="65"/>
      <c r="D314" s="66"/>
      <c r="E314" s="886"/>
      <c r="F314" s="848"/>
      <c r="H314" s="797"/>
      <c r="I314" s="144"/>
      <c r="J314" s="15"/>
    </row>
    <row r="315" spans="1:10">
      <c r="A315" s="126" t="str">
        <f t="shared" si="32"/>
        <v>A2</v>
      </c>
      <c r="B315" s="13">
        <v>9</v>
      </c>
      <c r="C315" s="65"/>
      <c r="D315" s="66" t="s">
        <v>454</v>
      </c>
      <c r="E315" s="886"/>
      <c r="F315" s="848"/>
      <c r="H315" s="797"/>
      <c r="I315" s="144"/>
      <c r="J315" s="15"/>
    </row>
    <row r="316" spans="1:10" ht="51">
      <c r="A316" s="126" t="str">
        <f t="shared" si="32"/>
        <v>A2</v>
      </c>
      <c r="B316" s="13">
        <v>9</v>
      </c>
      <c r="C316" s="65"/>
      <c r="D316" s="64" t="s">
        <v>1075</v>
      </c>
      <c r="E316" s="883"/>
      <c r="F316" s="848"/>
      <c r="H316" s="797"/>
      <c r="I316" s="144"/>
      <c r="J316" s="15"/>
    </row>
    <row r="317" spans="1:10" ht="38.25">
      <c r="A317" s="126"/>
      <c r="C317" s="65"/>
      <c r="D317" s="64" t="s">
        <v>790</v>
      </c>
      <c r="E317" s="883"/>
      <c r="F317" s="848"/>
      <c r="H317" s="797"/>
      <c r="I317" s="144"/>
      <c r="J317" s="15"/>
    </row>
    <row r="318" spans="1:10" ht="25.5">
      <c r="A318" s="126"/>
      <c r="C318" s="65"/>
      <c r="D318" s="64" t="s">
        <v>774</v>
      </c>
      <c r="E318" s="883"/>
      <c r="F318" s="808"/>
      <c r="H318" s="797"/>
      <c r="I318" s="144"/>
      <c r="J318" s="15"/>
    </row>
    <row r="319" spans="1:10">
      <c r="A319" s="126"/>
      <c r="C319" s="65"/>
      <c r="D319" s="64" t="s">
        <v>775</v>
      </c>
      <c r="E319" s="883"/>
      <c r="F319" s="351"/>
      <c r="H319" s="797"/>
      <c r="I319" s="144"/>
      <c r="J319" s="15"/>
    </row>
    <row r="320" spans="1:10" ht="15.75">
      <c r="A320" s="126"/>
      <c r="C320" s="65"/>
      <c r="D320" s="64" t="s">
        <v>776</v>
      </c>
      <c r="E320" s="883"/>
      <c r="F320" s="848"/>
      <c r="H320" s="797"/>
      <c r="I320" s="144"/>
      <c r="J320" s="15"/>
    </row>
    <row r="321" spans="1:10" ht="38.25">
      <c r="A321" s="126"/>
      <c r="C321" s="65"/>
      <c r="D321" s="64" t="s">
        <v>884</v>
      </c>
      <c r="E321" s="883"/>
      <c r="F321" s="808"/>
      <c r="H321" s="797"/>
      <c r="I321" s="144"/>
      <c r="J321" s="15"/>
    </row>
    <row r="322" spans="1:10">
      <c r="A322" s="126"/>
      <c r="C322" s="65"/>
      <c r="D322" s="64" t="s">
        <v>781</v>
      </c>
      <c r="E322" s="883"/>
      <c r="F322" s="848"/>
      <c r="H322" s="797"/>
      <c r="I322" s="144"/>
      <c r="J322" s="15"/>
    </row>
    <row r="323" spans="1:10">
      <c r="A323" s="126"/>
      <c r="C323" s="65"/>
      <c r="D323" s="64" t="s">
        <v>782</v>
      </c>
      <c r="E323" s="883"/>
      <c r="F323" s="848"/>
      <c r="H323" s="797"/>
      <c r="I323" s="144"/>
      <c r="J323" s="15"/>
    </row>
    <row r="324" spans="1:10">
      <c r="A324" s="126"/>
      <c r="C324" s="65"/>
      <c r="D324" s="64" t="s">
        <v>783</v>
      </c>
      <c r="E324" s="883"/>
      <c r="F324" s="848"/>
      <c r="H324" s="797"/>
      <c r="I324" s="144"/>
      <c r="J324" s="15"/>
    </row>
    <row r="325" spans="1:10" s="49" customFormat="1" ht="25.5">
      <c r="A325" s="405"/>
      <c r="B325" s="202"/>
      <c r="C325" s="406"/>
      <c r="D325" s="407" t="s">
        <v>1047</v>
      </c>
      <c r="E325" s="894"/>
      <c r="F325" s="849"/>
      <c r="G325" s="790"/>
      <c r="H325" s="789"/>
      <c r="I325" s="144"/>
    </row>
    <row r="326" spans="1:10" ht="15.75">
      <c r="A326" s="126" t="str">
        <f t="shared" ref="A326" si="46">$C$11</f>
        <v>A2</v>
      </c>
      <c r="B326" s="13">
        <v>9</v>
      </c>
      <c r="C326" s="65"/>
      <c r="D326" s="384" t="s">
        <v>784</v>
      </c>
      <c r="E326" s="962"/>
      <c r="F326" s="848"/>
      <c r="H326" s="797"/>
      <c r="I326" s="144"/>
      <c r="J326" s="15"/>
    </row>
    <row r="327" spans="1:10">
      <c r="A327" s="126"/>
      <c r="C327" s="65"/>
      <c r="E327" s="883"/>
      <c r="F327" s="848"/>
      <c r="H327" s="797"/>
      <c r="I327" s="144"/>
      <c r="J327" s="15"/>
    </row>
    <row r="328" spans="1:10" ht="25.5">
      <c r="A328" s="126" t="str">
        <f t="shared" si="32"/>
        <v>A2</v>
      </c>
      <c r="B328" s="13">
        <v>9</v>
      </c>
      <c r="C328" s="349" t="s">
        <v>395</v>
      </c>
      <c r="D328" s="64" t="s">
        <v>938</v>
      </c>
      <c r="E328" s="883"/>
      <c r="F328" s="848" t="s">
        <v>11</v>
      </c>
      <c r="G328" s="784">
        <v>1</v>
      </c>
      <c r="H328" s="809"/>
      <c r="I328" s="728">
        <f t="shared" ref="I328" si="47">G328*H328</f>
        <v>0</v>
      </c>
      <c r="J328" s="15"/>
    </row>
    <row r="329" spans="1:10">
      <c r="A329" s="126" t="str">
        <f t="shared" si="32"/>
        <v>A2</v>
      </c>
      <c r="B329" s="13">
        <v>9</v>
      </c>
      <c r="C329" s="349"/>
      <c r="E329" s="883"/>
      <c r="F329" s="848"/>
      <c r="H329" s="797"/>
      <c r="I329" s="47"/>
      <c r="J329" s="15"/>
    </row>
    <row r="330" spans="1:10" ht="25.5">
      <c r="A330" s="126" t="str">
        <f t="shared" si="32"/>
        <v>A2</v>
      </c>
      <c r="B330" s="13">
        <v>9</v>
      </c>
      <c r="C330" s="349" t="s">
        <v>388</v>
      </c>
      <c r="D330" s="64" t="s">
        <v>939</v>
      </c>
      <c r="E330" s="883"/>
      <c r="F330" s="848" t="s">
        <v>11</v>
      </c>
      <c r="G330" s="784">
        <v>1</v>
      </c>
      <c r="H330" s="809"/>
      <c r="I330" s="728">
        <f t="shared" ref="I330" si="48">G330*H330</f>
        <v>0</v>
      </c>
      <c r="J330" s="15"/>
    </row>
    <row r="331" spans="1:10">
      <c r="A331" s="126" t="str">
        <f t="shared" si="32"/>
        <v>A2</v>
      </c>
      <c r="B331" s="13">
        <v>9</v>
      </c>
      <c r="C331" s="349"/>
      <c r="E331" s="883"/>
      <c r="F331" s="848"/>
      <c r="H331" s="797"/>
      <c r="I331" s="47"/>
      <c r="J331" s="15"/>
    </row>
    <row r="332" spans="1:10" ht="25.5">
      <c r="A332" s="126" t="str">
        <f t="shared" si="32"/>
        <v>A2</v>
      </c>
      <c r="B332" s="13">
        <v>9</v>
      </c>
      <c r="C332" s="349" t="s">
        <v>389</v>
      </c>
      <c r="D332" s="64" t="s">
        <v>940</v>
      </c>
      <c r="E332" s="883"/>
      <c r="F332" s="848" t="s">
        <v>11</v>
      </c>
      <c r="G332" s="784">
        <v>1</v>
      </c>
      <c r="H332" s="809"/>
      <c r="I332" s="728">
        <f t="shared" ref="I332" si="49">G332*H332</f>
        <v>0</v>
      </c>
      <c r="J332" s="15"/>
    </row>
    <row r="333" spans="1:10">
      <c r="A333" s="126" t="str">
        <f t="shared" si="32"/>
        <v>A2</v>
      </c>
      <c r="B333" s="13">
        <v>9</v>
      </c>
      <c r="C333" s="349"/>
      <c r="E333" s="883"/>
      <c r="F333" s="848"/>
      <c r="H333" s="797"/>
      <c r="I333" s="47"/>
      <c r="J333" s="15"/>
    </row>
    <row r="334" spans="1:10" ht="25.5">
      <c r="A334" s="126" t="str">
        <f t="shared" si="32"/>
        <v>A2</v>
      </c>
      <c r="B334" s="13">
        <v>9</v>
      </c>
      <c r="C334" s="349" t="s">
        <v>682</v>
      </c>
      <c r="D334" s="64" t="s">
        <v>941</v>
      </c>
      <c r="E334" s="883"/>
      <c r="F334" s="848" t="s">
        <v>11</v>
      </c>
      <c r="G334" s="784">
        <v>1</v>
      </c>
      <c r="H334" s="809"/>
      <c r="I334" s="728">
        <f t="shared" ref="I334" si="50">G334*H334</f>
        <v>0</v>
      </c>
      <c r="J334" s="15"/>
    </row>
    <row r="335" spans="1:10">
      <c r="A335" s="126" t="str">
        <f t="shared" si="32"/>
        <v>A2</v>
      </c>
      <c r="B335" s="13">
        <v>9</v>
      </c>
      <c r="C335" s="349"/>
      <c r="E335" s="883"/>
      <c r="F335" s="848"/>
      <c r="H335" s="797"/>
      <c r="I335" s="47"/>
      <c r="J335" s="15"/>
    </row>
    <row r="336" spans="1:10" ht="25.5">
      <c r="A336" s="126" t="str">
        <f t="shared" si="32"/>
        <v>A2</v>
      </c>
      <c r="B336" s="13">
        <v>9</v>
      </c>
      <c r="C336" s="349" t="s">
        <v>683</v>
      </c>
      <c r="D336" s="64" t="s">
        <v>942</v>
      </c>
      <c r="E336" s="883"/>
      <c r="F336" s="848" t="s">
        <v>11</v>
      </c>
      <c r="G336" s="784">
        <v>2</v>
      </c>
      <c r="H336" s="809"/>
      <c r="I336" s="728">
        <f t="shared" ref="I336" si="51">G336*H336</f>
        <v>0</v>
      </c>
      <c r="J336" s="15"/>
    </row>
    <row r="337" spans="1:10">
      <c r="A337" s="126" t="str">
        <f t="shared" si="32"/>
        <v>A2</v>
      </c>
      <c r="B337" s="13">
        <v>9</v>
      </c>
      <c r="C337" s="349"/>
      <c r="E337" s="883"/>
      <c r="F337" s="848"/>
      <c r="H337" s="797"/>
      <c r="I337" s="47"/>
      <c r="J337" s="15"/>
    </row>
    <row r="338" spans="1:10" ht="25.5">
      <c r="A338" s="126" t="str">
        <f t="shared" si="32"/>
        <v>A2</v>
      </c>
      <c r="B338" s="13">
        <v>9</v>
      </c>
      <c r="C338" s="349" t="s">
        <v>684</v>
      </c>
      <c r="D338" s="64" t="s">
        <v>943</v>
      </c>
      <c r="E338" s="883"/>
      <c r="F338" s="848" t="s">
        <v>11</v>
      </c>
      <c r="G338" s="784">
        <v>1</v>
      </c>
      <c r="H338" s="809"/>
      <c r="I338" s="728">
        <f t="shared" ref="I338" si="52">G338*H338</f>
        <v>0</v>
      </c>
      <c r="J338" s="15"/>
    </row>
    <row r="339" spans="1:10">
      <c r="A339" s="126" t="str">
        <f t="shared" si="32"/>
        <v>A2</v>
      </c>
      <c r="B339" s="13">
        <v>9</v>
      </c>
      <c r="C339" s="349"/>
      <c r="E339" s="883"/>
      <c r="F339" s="848"/>
      <c r="H339" s="797"/>
      <c r="I339" s="47"/>
      <c r="J339" s="15"/>
    </row>
    <row r="340" spans="1:10" ht="25.5">
      <c r="A340" s="126" t="str">
        <f t="shared" si="32"/>
        <v>A2</v>
      </c>
      <c r="B340" s="13">
        <v>9</v>
      </c>
      <c r="C340" s="349" t="s">
        <v>429</v>
      </c>
      <c r="D340" s="64" t="s">
        <v>944</v>
      </c>
      <c r="E340" s="883"/>
      <c r="F340" s="848" t="s">
        <v>11</v>
      </c>
      <c r="G340" s="784">
        <v>1</v>
      </c>
      <c r="H340" s="809"/>
      <c r="I340" s="728">
        <f t="shared" ref="I340" si="53">G340*H340</f>
        <v>0</v>
      </c>
      <c r="J340" s="15"/>
    </row>
    <row r="341" spans="1:10">
      <c r="A341" s="126" t="str">
        <f t="shared" si="32"/>
        <v>A2</v>
      </c>
      <c r="B341" s="13">
        <v>9</v>
      </c>
      <c r="C341" s="349"/>
      <c r="E341" s="883"/>
      <c r="F341" s="848"/>
      <c r="H341" s="797"/>
      <c r="I341" s="47"/>
      <c r="J341" s="15"/>
    </row>
    <row r="342" spans="1:10" ht="25.5">
      <c r="A342" s="126" t="str">
        <f t="shared" si="32"/>
        <v>A2</v>
      </c>
      <c r="B342" s="13">
        <v>9</v>
      </c>
      <c r="C342" s="349" t="s">
        <v>685</v>
      </c>
      <c r="D342" s="64" t="s">
        <v>945</v>
      </c>
      <c r="E342" s="883"/>
      <c r="F342" s="848" t="s">
        <v>11</v>
      </c>
      <c r="G342" s="784">
        <v>1</v>
      </c>
      <c r="H342" s="809"/>
      <c r="I342" s="728">
        <f t="shared" ref="I342" si="54">G342*H342</f>
        <v>0</v>
      </c>
      <c r="J342" s="15"/>
    </row>
    <row r="343" spans="1:10">
      <c r="A343" s="126" t="str">
        <f t="shared" si="32"/>
        <v>A2</v>
      </c>
      <c r="B343" s="13">
        <v>9</v>
      </c>
      <c r="C343" s="349"/>
      <c r="E343" s="883"/>
      <c r="F343" s="848"/>
      <c r="H343" s="797"/>
      <c r="I343" s="47"/>
      <c r="J343" s="15"/>
    </row>
    <row r="344" spans="1:10" ht="25.5">
      <c r="A344" s="126" t="str">
        <f t="shared" si="32"/>
        <v>A2</v>
      </c>
      <c r="B344" s="13">
        <v>9</v>
      </c>
      <c r="C344" s="349" t="s">
        <v>686</v>
      </c>
      <c r="D344" s="64" t="s">
        <v>946</v>
      </c>
      <c r="E344" s="883"/>
      <c r="F344" s="848" t="s">
        <v>11</v>
      </c>
      <c r="G344" s="784">
        <v>1</v>
      </c>
      <c r="H344" s="809"/>
      <c r="I344" s="728">
        <f t="shared" ref="I344" si="55">G344*H344</f>
        <v>0</v>
      </c>
      <c r="J344" s="15"/>
    </row>
    <row r="345" spans="1:10">
      <c r="A345" s="126" t="str">
        <f t="shared" si="32"/>
        <v>A2</v>
      </c>
      <c r="B345" s="13">
        <v>9</v>
      </c>
      <c r="C345" s="349"/>
      <c r="E345" s="883"/>
      <c r="F345" s="848"/>
      <c r="H345" s="797"/>
      <c r="I345" s="47"/>
      <c r="J345" s="15"/>
    </row>
    <row r="346" spans="1:10" ht="25.5">
      <c r="A346" s="126" t="str">
        <f t="shared" si="32"/>
        <v>A2</v>
      </c>
      <c r="B346" s="13">
        <v>9</v>
      </c>
      <c r="C346" s="349" t="s">
        <v>687</v>
      </c>
      <c r="D346" s="64" t="s">
        <v>947</v>
      </c>
      <c r="E346" s="883"/>
      <c r="F346" s="848" t="s">
        <v>11</v>
      </c>
      <c r="G346" s="784">
        <v>5</v>
      </c>
      <c r="H346" s="809"/>
      <c r="I346" s="728">
        <f t="shared" ref="I346" si="56">G346*H346</f>
        <v>0</v>
      </c>
      <c r="J346" s="15"/>
    </row>
    <row r="347" spans="1:10">
      <c r="A347" s="126" t="str">
        <f t="shared" si="32"/>
        <v>A2</v>
      </c>
      <c r="B347" s="13">
        <v>9</v>
      </c>
      <c r="E347" s="883"/>
      <c r="F347" s="848"/>
      <c r="H347" s="797"/>
      <c r="I347" s="47"/>
      <c r="J347" s="15"/>
    </row>
    <row r="348" spans="1:10">
      <c r="A348" s="126" t="str">
        <f t="shared" si="32"/>
        <v>A2</v>
      </c>
      <c r="B348" s="13">
        <v>9</v>
      </c>
      <c r="D348" s="66" t="s">
        <v>455</v>
      </c>
      <c r="E348" s="886"/>
      <c r="F348" s="848"/>
      <c r="H348" s="797"/>
      <c r="I348" s="47"/>
      <c r="J348" s="15"/>
    </row>
    <row r="349" spans="1:10">
      <c r="A349" s="126" t="str">
        <f t="shared" si="32"/>
        <v>A2</v>
      </c>
      <c r="B349" s="13">
        <v>9</v>
      </c>
      <c r="D349" s="64" t="s">
        <v>885</v>
      </c>
      <c r="E349" s="883"/>
      <c r="F349" s="848"/>
      <c r="H349" s="797"/>
      <c r="I349" s="47"/>
      <c r="J349" s="15"/>
    </row>
    <row r="350" spans="1:10" ht="51">
      <c r="A350" s="126"/>
      <c r="D350" s="348" t="s">
        <v>1077</v>
      </c>
      <c r="E350" s="895"/>
      <c r="F350" s="848"/>
      <c r="H350" s="797"/>
      <c r="I350" s="47"/>
      <c r="J350" s="15"/>
    </row>
    <row r="351" spans="1:10">
      <c r="A351" s="126"/>
      <c r="D351" s="64" t="s">
        <v>792</v>
      </c>
      <c r="E351" s="883"/>
      <c r="F351" s="848"/>
      <c r="H351" s="797"/>
      <c r="I351" s="47"/>
      <c r="J351" s="15"/>
    </row>
    <row r="352" spans="1:10" ht="25.5">
      <c r="A352" s="126"/>
      <c r="D352" s="400" t="s">
        <v>793</v>
      </c>
      <c r="E352" s="963"/>
      <c r="F352" s="848"/>
      <c r="H352" s="797"/>
      <c r="I352" s="47"/>
      <c r="J352" s="15"/>
    </row>
    <row r="353" spans="1:10" ht="38.25">
      <c r="A353" s="126"/>
      <c r="D353" s="400" t="s">
        <v>794</v>
      </c>
      <c r="E353" s="963"/>
      <c r="F353" s="848"/>
      <c r="H353" s="797"/>
      <c r="I353" s="47"/>
      <c r="J353" s="15"/>
    </row>
    <row r="354" spans="1:10" ht="25.5">
      <c r="A354" s="126"/>
      <c r="D354" s="400" t="s">
        <v>795</v>
      </c>
      <c r="E354" s="963"/>
      <c r="F354" s="848"/>
      <c r="H354" s="797"/>
      <c r="I354" s="47"/>
      <c r="J354" s="15"/>
    </row>
    <row r="355" spans="1:10" ht="76.5">
      <c r="A355" s="126"/>
      <c r="D355" s="348" t="s">
        <v>1078</v>
      </c>
      <c r="E355" s="895"/>
      <c r="F355" s="848"/>
      <c r="H355" s="797"/>
      <c r="I355" s="47"/>
      <c r="J355" s="15"/>
    </row>
    <row r="356" spans="1:10">
      <c r="A356" s="126"/>
      <c r="E356" s="883"/>
      <c r="F356" s="848"/>
      <c r="H356" s="797"/>
      <c r="I356" s="47"/>
      <c r="J356" s="15"/>
    </row>
    <row r="357" spans="1:10">
      <c r="A357" s="126" t="str">
        <f t="shared" si="32"/>
        <v>A2</v>
      </c>
      <c r="B357" s="13">
        <v>9</v>
      </c>
      <c r="C357" s="349" t="s">
        <v>688</v>
      </c>
      <c r="D357" s="64" t="s">
        <v>949</v>
      </c>
      <c r="E357" s="883"/>
      <c r="F357" s="848" t="s">
        <v>11</v>
      </c>
      <c r="G357" s="397">
        <v>4</v>
      </c>
      <c r="I357" s="728">
        <f t="shared" ref="I357" si="57">G357*H357</f>
        <v>0</v>
      </c>
      <c r="J357" s="15"/>
    </row>
    <row r="358" spans="1:10">
      <c r="A358" s="126" t="str">
        <f t="shared" si="32"/>
        <v>A2</v>
      </c>
      <c r="B358" s="13">
        <v>9</v>
      </c>
      <c r="C358" s="349"/>
      <c r="E358" s="883"/>
      <c r="F358" s="848"/>
      <c r="G358" s="397"/>
      <c r="I358" s="47"/>
      <c r="J358" s="15"/>
    </row>
    <row r="359" spans="1:10">
      <c r="A359" s="126" t="str">
        <f t="shared" si="32"/>
        <v>A2</v>
      </c>
      <c r="B359" s="13">
        <v>9</v>
      </c>
      <c r="C359" s="349" t="s">
        <v>689</v>
      </c>
      <c r="D359" s="64" t="s">
        <v>950</v>
      </c>
      <c r="E359" s="883"/>
      <c r="F359" s="848" t="s">
        <v>11</v>
      </c>
      <c r="G359" s="397">
        <v>8</v>
      </c>
      <c r="I359" s="728">
        <f t="shared" ref="I359" si="58">G359*H359</f>
        <v>0</v>
      </c>
      <c r="J359" s="15"/>
    </row>
    <row r="360" spans="1:10">
      <c r="A360" s="126" t="str">
        <f t="shared" si="32"/>
        <v>A2</v>
      </c>
      <c r="B360" s="13">
        <v>9</v>
      </c>
      <c r="C360" s="349"/>
      <c r="E360" s="883"/>
      <c r="F360" s="848"/>
      <c r="G360" s="397"/>
      <c r="I360" s="47"/>
      <c r="J360" s="15"/>
    </row>
    <row r="361" spans="1:10" ht="25.5">
      <c r="A361" s="126" t="str">
        <f t="shared" si="32"/>
        <v>A2</v>
      </c>
      <c r="B361" s="13">
        <v>9</v>
      </c>
      <c r="C361" s="349" t="s">
        <v>690</v>
      </c>
      <c r="D361" s="64" t="s">
        <v>951</v>
      </c>
      <c r="E361" s="883"/>
      <c r="F361" s="848" t="s">
        <v>11</v>
      </c>
      <c r="G361" s="397">
        <v>1</v>
      </c>
      <c r="I361" s="728">
        <f t="shared" ref="I361" si="59">G361*H361</f>
        <v>0</v>
      </c>
      <c r="J361" s="15"/>
    </row>
    <row r="362" spans="1:10">
      <c r="A362" s="126"/>
      <c r="C362" s="349"/>
      <c r="E362" s="883"/>
      <c r="F362" s="848"/>
      <c r="G362" s="397"/>
      <c r="I362" s="47"/>
      <c r="J362" s="15"/>
    </row>
    <row r="363" spans="1:10" ht="25.5">
      <c r="A363" s="126" t="str">
        <f t="shared" si="32"/>
        <v>A2</v>
      </c>
      <c r="B363" s="13">
        <v>9</v>
      </c>
      <c r="C363" s="349" t="s">
        <v>691</v>
      </c>
      <c r="D363" s="64" t="s">
        <v>952</v>
      </c>
      <c r="E363" s="883"/>
      <c r="F363" s="848" t="s">
        <v>11</v>
      </c>
      <c r="G363" s="397">
        <v>1</v>
      </c>
      <c r="I363" s="728">
        <f t="shared" ref="I363" si="60">G363*H363</f>
        <v>0</v>
      </c>
      <c r="J363" s="15"/>
    </row>
    <row r="364" spans="1:10">
      <c r="A364" s="126" t="str">
        <f t="shared" si="32"/>
        <v>A2</v>
      </c>
      <c r="B364" s="13">
        <v>9</v>
      </c>
      <c r="D364" s="66"/>
      <c r="E364" s="886"/>
      <c r="F364" s="848"/>
      <c r="G364" s="397"/>
      <c r="I364" s="47"/>
      <c r="J364" s="15"/>
    </row>
    <row r="365" spans="1:10" ht="25.5">
      <c r="A365" s="126" t="str">
        <f t="shared" si="32"/>
        <v>A2</v>
      </c>
      <c r="B365" s="13">
        <v>9</v>
      </c>
      <c r="C365" s="349" t="s">
        <v>692</v>
      </c>
      <c r="D365" s="64" t="s">
        <v>953</v>
      </c>
      <c r="E365" s="883"/>
      <c r="F365" s="848" t="s">
        <v>11</v>
      </c>
      <c r="G365" s="397">
        <v>1</v>
      </c>
      <c r="I365" s="728">
        <f t="shared" ref="I365" si="61">G365*H365</f>
        <v>0</v>
      </c>
      <c r="J365" s="15"/>
    </row>
    <row r="366" spans="1:10">
      <c r="A366" s="126"/>
      <c r="C366" s="349"/>
      <c r="E366" s="883"/>
      <c r="F366" s="848"/>
      <c r="G366" s="397"/>
      <c r="I366" s="47"/>
      <c r="J366" s="15"/>
    </row>
    <row r="367" spans="1:10" ht="25.5">
      <c r="A367" s="126" t="str">
        <f t="shared" si="32"/>
        <v>A2</v>
      </c>
      <c r="B367" s="13">
        <v>9</v>
      </c>
      <c r="C367" s="349" t="s">
        <v>693</v>
      </c>
      <c r="D367" s="64" t="s">
        <v>954</v>
      </c>
      <c r="E367" s="883"/>
      <c r="F367" s="848" t="s">
        <v>11</v>
      </c>
      <c r="G367" s="397">
        <v>1</v>
      </c>
      <c r="I367" s="728">
        <f t="shared" ref="I367" si="62">G367*H367</f>
        <v>0</v>
      </c>
      <c r="J367" s="15"/>
    </row>
    <row r="368" spans="1:10">
      <c r="A368" s="126"/>
      <c r="C368" s="349"/>
      <c r="E368" s="883"/>
      <c r="F368" s="848"/>
      <c r="G368" s="397"/>
      <c r="I368" s="47"/>
      <c r="J368" s="15"/>
    </row>
    <row r="369" spans="1:10" ht="63.75">
      <c r="A369" s="126" t="str">
        <f t="shared" si="32"/>
        <v>A2</v>
      </c>
      <c r="B369" s="13">
        <v>9</v>
      </c>
      <c r="C369" s="202" t="s">
        <v>694</v>
      </c>
      <c r="D369" s="235" t="s">
        <v>937</v>
      </c>
      <c r="E369" s="896"/>
      <c r="F369" s="211"/>
      <c r="G369" s="784"/>
      <c r="H369" s="809"/>
      <c r="I369" s="176"/>
    </row>
    <row r="370" spans="1:10">
      <c r="A370" s="126" t="str">
        <f t="shared" si="32"/>
        <v>A2</v>
      </c>
      <c r="B370" s="13">
        <v>9</v>
      </c>
      <c r="C370" s="202"/>
      <c r="D370" s="58" t="s">
        <v>386</v>
      </c>
      <c r="E370" s="888"/>
      <c r="F370" s="211" t="s">
        <v>11</v>
      </c>
      <c r="G370" s="784">
        <v>1</v>
      </c>
      <c r="H370" s="809"/>
      <c r="I370" s="728">
        <f t="shared" ref="I370" si="63">G370*H370</f>
        <v>0</v>
      </c>
    </row>
    <row r="371" spans="1:10">
      <c r="A371" s="126" t="str">
        <f t="shared" si="32"/>
        <v>A2</v>
      </c>
      <c r="B371" s="13">
        <v>9</v>
      </c>
      <c r="C371" s="202"/>
      <c r="D371" s="58"/>
      <c r="E371" s="888"/>
      <c r="F371" s="211"/>
      <c r="G371" s="784"/>
      <c r="H371" s="809"/>
      <c r="I371" s="176"/>
    </row>
    <row r="372" spans="1:10" s="49" customFormat="1" ht="63.75">
      <c r="A372" s="126" t="str">
        <f t="shared" si="32"/>
        <v>A2</v>
      </c>
      <c r="B372" s="13">
        <v>9</v>
      </c>
      <c r="C372" s="202" t="s">
        <v>695</v>
      </c>
      <c r="D372" s="235" t="s">
        <v>777</v>
      </c>
      <c r="E372" s="896"/>
      <c r="F372" s="395"/>
      <c r="G372" s="396"/>
      <c r="H372" s="224"/>
      <c r="I372" s="47"/>
      <c r="J372" s="55"/>
    </row>
    <row r="373" spans="1:10" s="49" customFormat="1">
      <c r="A373" s="126"/>
      <c r="B373" s="13"/>
      <c r="C373" s="202"/>
      <c r="D373" s="58" t="s">
        <v>386</v>
      </c>
      <c r="E373" s="888"/>
      <c r="F373" s="395"/>
      <c r="G373" s="396"/>
      <c r="H373" s="224"/>
      <c r="I373" s="47"/>
      <c r="J373" s="55"/>
    </row>
    <row r="374" spans="1:10" s="49" customFormat="1">
      <c r="A374" s="126" t="str">
        <f t="shared" si="32"/>
        <v>A2</v>
      </c>
      <c r="B374" s="13">
        <v>9</v>
      </c>
      <c r="C374" s="221"/>
      <c r="D374" s="225" t="s">
        <v>955</v>
      </c>
      <c r="E374" s="964"/>
      <c r="F374" s="395" t="s">
        <v>11</v>
      </c>
      <c r="G374" s="784">
        <v>1</v>
      </c>
      <c r="H374" s="224"/>
      <c r="I374" s="728">
        <f t="shared" ref="I374:I375" si="64">G374*H374</f>
        <v>0</v>
      </c>
      <c r="J374" s="55"/>
    </row>
    <row r="375" spans="1:10" s="49" customFormat="1">
      <c r="A375" s="126" t="str">
        <f t="shared" si="32"/>
        <v>A2</v>
      </c>
      <c r="B375" s="13">
        <v>9</v>
      </c>
      <c r="C375" s="132"/>
      <c r="D375" s="225" t="s">
        <v>956</v>
      </c>
      <c r="E375" s="964"/>
      <c r="F375" s="395" t="s">
        <v>11</v>
      </c>
      <c r="G375" s="784">
        <v>1</v>
      </c>
      <c r="H375" s="224"/>
      <c r="I375" s="728">
        <f t="shared" si="64"/>
        <v>0</v>
      </c>
      <c r="J375" s="226"/>
    </row>
    <row r="376" spans="1:10" s="49" customFormat="1">
      <c r="A376" s="60"/>
      <c r="B376" s="60"/>
      <c r="C376" s="221"/>
      <c r="D376" s="227"/>
      <c r="E376" s="899"/>
      <c r="F376" s="395"/>
      <c r="G376" s="396"/>
      <c r="H376" s="224"/>
      <c r="I376" s="47"/>
      <c r="J376" s="55"/>
    </row>
    <row r="377" spans="1:10" s="49" customFormat="1" ht="25.5">
      <c r="A377" s="60"/>
      <c r="B377" s="60"/>
      <c r="C377" s="202" t="s">
        <v>696</v>
      </c>
      <c r="D377" s="362" t="s">
        <v>936</v>
      </c>
      <c r="E377" s="965"/>
      <c r="F377" s="183"/>
      <c r="G377" s="401"/>
      <c r="H377" s="224"/>
      <c r="I377" s="47"/>
      <c r="J377" s="55"/>
    </row>
    <row r="378" spans="1:10" s="49" customFormat="1">
      <c r="A378" s="60"/>
      <c r="B378" s="60"/>
      <c r="C378" s="363"/>
      <c r="D378" s="362" t="s">
        <v>756</v>
      </c>
      <c r="E378" s="965"/>
      <c r="F378" s="183" t="s">
        <v>21</v>
      </c>
      <c r="G378" s="401">
        <v>1</v>
      </c>
      <c r="H378" s="224"/>
      <c r="I378" s="728">
        <f t="shared" ref="I378" si="65">G378*H378</f>
        <v>0</v>
      </c>
      <c r="J378" s="55"/>
    </row>
    <row r="379" spans="1:10">
      <c r="A379" s="126"/>
      <c r="D379" s="239"/>
      <c r="E379" s="853"/>
      <c r="F379" s="351"/>
      <c r="G379" s="397"/>
      <c r="I379" s="47"/>
      <c r="J379" s="15"/>
    </row>
    <row r="380" spans="1:10" ht="229.5">
      <c r="A380" s="126"/>
      <c r="C380" s="202" t="s">
        <v>697</v>
      </c>
      <c r="D380" s="239" t="s">
        <v>1096</v>
      </c>
      <c r="E380" s="853"/>
      <c r="F380" s="351"/>
      <c r="G380" s="397"/>
      <c r="I380" s="47"/>
      <c r="J380" s="15"/>
    </row>
    <row r="381" spans="1:10">
      <c r="A381" s="126"/>
      <c r="C381" s="202"/>
      <c r="D381" s="239" t="s">
        <v>959</v>
      </c>
      <c r="E381" s="853"/>
      <c r="F381" s="192" t="s">
        <v>12</v>
      </c>
      <c r="G381" s="784">
        <v>5</v>
      </c>
      <c r="H381" s="809"/>
      <c r="I381" s="728">
        <f t="shared" ref="I381" si="66">G381*H381</f>
        <v>0</v>
      </c>
      <c r="J381" s="15"/>
    </row>
    <row r="382" spans="1:10">
      <c r="A382" s="126"/>
      <c r="C382" s="202"/>
      <c r="D382" s="239"/>
      <c r="E382" s="853"/>
      <c r="F382" s="351"/>
      <c r="H382" s="797"/>
      <c r="I382" s="47"/>
      <c r="J382" s="15"/>
    </row>
    <row r="383" spans="1:10">
      <c r="A383" s="126" t="str">
        <f t="shared" si="32"/>
        <v>A2</v>
      </c>
      <c r="B383" s="13">
        <v>9</v>
      </c>
      <c r="C383" s="131">
        <f>C313</f>
        <v>9</v>
      </c>
      <c r="D383" s="119" t="str">
        <f>D313</f>
        <v>STOLARSKI RADOVI</v>
      </c>
      <c r="E383" s="869"/>
      <c r="F383" s="984"/>
      <c r="G383" s="798"/>
      <c r="H383" s="799"/>
      <c r="I383" s="153">
        <f>SUM(I316:I382)</f>
        <v>0</v>
      </c>
    </row>
    <row r="384" spans="1:10">
      <c r="A384" s="126" t="str">
        <f t="shared" si="32"/>
        <v>A2</v>
      </c>
      <c r="C384" s="65"/>
      <c r="D384" s="66"/>
      <c r="E384" s="886"/>
      <c r="F384" s="848"/>
      <c r="H384" s="797"/>
      <c r="I384" s="144"/>
    </row>
    <row r="385" spans="1:9">
      <c r="A385" s="126" t="str">
        <f t="shared" si="32"/>
        <v>A2</v>
      </c>
      <c r="C385" s="132"/>
      <c r="D385" s="44"/>
      <c r="E385" s="871"/>
      <c r="F385" s="848"/>
      <c r="H385" s="797"/>
      <c r="I385" s="144"/>
    </row>
    <row r="386" spans="1:9">
      <c r="A386" s="126" t="str">
        <f t="shared" si="32"/>
        <v>A2</v>
      </c>
      <c r="B386" s="13">
        <v>10</v>
      </c>
      <c r="C386" s="125">
        <v>10</v>
      </c>
      <c r="D386" s="120" t="s">
        <v>50</v>
      </c>
      <c r="E386" s="865"/>
      <c r="F386" s="986"/>
      <c r="G386" s="801"/>
      <c r="H386" s="796"/>
      <c r="I386" s="154"/>
    </row>
    <row r="387" spans="1:9">
      <c r="A387" s="126" t="str">
        <f t="shared" si="32"/>
        <v>A2</v>
      </c>
      <c r="B387" s="13">
        <v>10</v>
      </c>
      <c r="C387" s="65"/>
      <c r="D387" s="66"/>
      <c r="E387" s="886"/>
      <c r="F387" s="848"/>
      <c r="H387" s="797"/>
      <c r="I387" s="144"/>
    </row>
    <row r="388" spans="1:9" ht="38.25">
      <c r="A388" s="126" t="str">
        <f t="shared" si="32"/>
        <v>A2</v>
      </c>
      <c r="B388" s="13">
        <v>10</v>
      </c>
      <c r="C388" s="202" t="s">
        <v>85</v>
      </c>
      <c r="D388" s="341" t="s">
        <v>1097</v>
      </c>
      <c r="E388" s="855"/>
      <c r="F388" s="192"/>
      <c r="G388" s="784"/>
      <c r="H388" s="809"/>
      <c r="I388" s="193"/>
    </row>
    <row r="389" spans="1:9">
      <c r="A389" s="126"/>
      <c r="C389" s="202"/>
      <c r="D389" s="199" t="s">
        <v>394</v>
      </c>
      <c r="E389" s="884"/>
      <c r="F389" s="192" t="s">
        <v>56</v>
      </c>
      <c r="G389" s="784">
        <f>1+1.2+1</f>
        <v>3.2</v>
      </c>
      <c r="H389" s="809"/>
      <c r="I389" s="728">
        <f t="shared" ref="I389" si="67">G389*H389</f>
        <v>0</v>
      </c>
    </row>
    <row r="390" spans="1:9">
      <c r="A390" s="126"/>
      <c r="C390" s="202"/>
      <c r="D390" s="199"/>
      <c r="E390" s="884"/>
      <c r="F390" s="192"/>
      <c r="G390" s="784"/>
      <c r="H390" s="809"/>
      <c r="I390" s="193"/>
    </row>
    <row r="391" spans="1:9" ht="51">
      <c r="A391" s="126"/>
      <c r="C391" s="202" t="s">
        <v>714</v>
      </c>
      <c r="D391" s="209" t="s">
        <v>1092</v>
      </c>
      <c r="E391" s="889"/>
      <c r="F391" s="192"/>
      <c r="G391" s="784"/>
      <c r="H391" s="809"/>
      <c r="I391" s="193"/>
    </row>
    <row r="392" spans="1:9">
      <c r="A392" s="126"/>
      <c r="C392" s="202"/>
      <c r="D392" s="199" t="s">
        <v>382</v>
      </c>
      <c r="E392" s="884"/>
      <c r="F392" s="192" t="s">
        <v>12</v>
      </c>
      <c r="G392" s="784">
        <f>73.18*0.8</f>
        <v>58.544000000000011</v>
      </c>
      <c r="H392" s="809"/>
      <c r="I392" s="728">
        <f t="shared" ref="I392" si="68">G392*H392</f>
        <v>0</v>
      </c>
    </row>
    <row r="393" spans="1:9">
      <c r="A393" s="126"/>
      <c r="C393" s="202"/>
      <c r="D393" s="199"/>
      <c r="E393" s="884"/>
      <c r="F393" s="192"/>
      <c r="G393" s="784"/>
      <c r="H393" s="809"/>
      <c r="I393" s="193"/>
    </row>
    <row r="394" spans="1:9" ht="38.25">
      <c r="A394" s="126"/>
      <c r="C394" s="202" t="s">
        <v>874</v>
      </c>
      <c r="D394" s="341" t="s">
        <v>1082</v>
      </c>
      <c r="E394" s="855"/>
      <c r="F394" s="192"/>
      <c r="G394" s="784"/>
      <c r="H394" s="809"/>
      <c r="I394" s="193"/>
    </row>
    <row r="395" spans="1:9">
      <c r="A395" s="126"/>
      <c r="C395" s="202"/>
      <c r="D395" s="199" t="s">
        <v>382</v>
      </c>
      <c r="E395" s="884"/>
      <c r="F395" s="192" t="s">
        <v>12</v>
      </c>
      <c r="G395" s="784">
        <v>12.1</v>
      </c>
      <c r="H395" s="809"/>
      <c r="I395" s="728">
        <f t="shared" ref="I395" si="69">G395*H395</f>
        <v>0</v>
      </c>
    </row>
    <row r="396" spans="1:9">
      <c r="A396" s="126" t="str">
        <f t="shared" si="32"/>
        <v>A2</v>
      </c>
      <c r="B396" s="13">
        <v>10</v>
      </c>
      <c r="C396" s="202"/>
      <c r="D396" s="385"/>
      <c r="E396" s="966"/>
      <c r="F396" s="192"/>
      <c r="G396" s="784"/>
      <c r="H396" s="809"/>
      <c r="I396" s="193"/>
    </row>
    <row r="397" spans="1:9" ht="38.25">
      <c r="A397" s="126"/>
      <c r="C397" s="202" t="s">
        <v>977</v>
      </c>
      <c r="D397" s="199" t="s">
        <v>976</v>
      </c>
      <c r="E397" s="884"/>
      <c r="F397" s="192"/>
      <c r="G397" s="784"/>
      <c r="H397" s="809"/>
      <c r="I397" s="193"/>
    </row>
    <row r="398" spans="1:9">
      <c r="A398" s="126"/>
      <c r="C398" s="202"/>
      <c r="D398" s="199" t="s">
        <v>382</v>
      </c>
      <c r="E398" s="884"/>
      <c r="F398" s="192" t="s">
        <v>12</v>
      </c>
      <c r="G398" s="784">
        <f>11.39+5*0.15*3.16</f>
        <v>13.760000000000002</v>
      </c>
      <c r="H398" s="809"/>
      <c r="I398" s="728">
        <f t="shared" ref="I398" si="70">G398*H398</f>
        <v>0</v>
      </c>
    </row>
    <row r="399" spans="1:9">
      <c r="A399" s="126"/>
      <c r="C399" s="202"/>
      <c r="D399" s="199"/>
      <c r="E399" s="884"/>
      <c r="F399" s="192"/>
      <c r="G399" s="784"/>
      <c r="H399" s="809"/>
      <c r="I399" s="193"/>
    </row>
    <row r="400" spans="1:9" ht="102">
      <c r="A400" s="126"/>
      <c r="C400" s="202" t="s">
        <v>978</v>
      </c>
      <c r="D400" s="199" t="s">
        <v>1098</v>
      </c>
      <c r="E400" s="884"/>
      <c r="F400" s="192"/>
      <c r="G400" s="784"/>
      <c r="H400" s="809"/>
      <c r="I400" s="193"/>
    </row>
    <row r="401" spans="1:14">
      <c r="A401" s="126"/>
      <c r="C401" s="202"/>
      <c r="D401" s="199" t="s">
        <v>382</v>
      </c>
      <c r="E401" s="884"/>
      <c r="F401" s="192" t="s">
        <v>12</v>
      </c>
      <c r="G401" s="784">
        <f>5.5*0.9+0.15*0.9*2*5.5+5.5*0.1+5.5*0.2</f>
        <v>8.0850000000000009</v>
      </c>
      <c r="H401" s="809"/>
      <c r="I401" s="728">
        <f t="shared" ref="I401" si="71">G401*H401</f>
        <v>0</v>
      </c>
    </row>
    <row r="402" spans="1:14">
      <c r="A402" s="126"/>
      <c r="C402" s="202"/>
      <c r="D402" s="199"/>
      <c r="E402" s="884"/>
      <c r="F402" s="192"/>
      <c r="G402" s="784"/>
      <c r="H402" s="809"/>
      <c r="I402" s="193"/>
    </row>
    <row r="403" spans="1:14">
      <c r="A403" s="126" t="str">
        <f t="shared" si="32"/>
        <v>A2</v>
      </c>
      <c r="B403" s="13">
        <v>10</v>
      </c>
      <c r="C403" s="131">
        <f>C386</f>
        <v>10</v>
      </c>
      <c r="D403" s="119" t="str">
        <f>D386</f>
        <v>KAMENARSKI RADOVI</v>
      </c>
      <c r="E403" s="869"/>
      <c r="F403" s="984"/>
      <c r="G403" s="798"/>
      <c r="H403" s="799"/>
      <c r="I403" s="153">
        <f>SUM(I387:I402)</f>
        <v>0</v>
      </c>
    </row>
    <row r="404" spans="1:14">
      <c r="A404" s="126" t="str">
        <f t="shared" si="32"/>
        <v>A2</v>
      </c>
      <c r="C404" s="65"/>
      <c r="D404" s="66"/>
      <c r="E404" s="886"/>
      <c r="F404" s="848"/>
      <c r="H404" s="797"/>
      <c r="I404" s="144"/>
    </row>
    <row r="405" spans="1:14">
      <c r="A405" s="126" t="str">
        <f t="shared" si="32"/>
        <v>A2</v>
      </c>
      <c r="C405" s="132"/>
      <c r="D405" s="44"/>
      <c r="E405" s="871"/>
      <c r="F405" s="848"/>
      <c r="H405" s="797"/>
      <c r="I405" s="144"/>
    </row>
    <row r="406" spans="1:14">
      <c r="A406" s="126" t="str">
        <f t="shared" si="32"/>
        <v>A2</v>
      </c>
      <c r="B406" s="13">
        <v>11</v>
      </c>
      <c r="C406" s="125">
        <v>11</v>
      </c>
      <c r="D406" s="120" t="s">
        <v>90</v>
      </c>
      <c r="E406" s="865"/>
      <c r="F406" s="986"/>
      <c r="G406" s="801"/>
      <c r="H406" s="796"/>
      <c r="I406" s="154"/>
      <c r="J406" s="15"/>
    </row>
    <row r="407" spans="1:14">
      <c r="A407" s="126" t="str">
        <f t="shared" si="32"/>
        <v>A2</v>
      </c>
      <c r="B407" s="13">
        <v>11</v>
      </c>
      <c r="C407" s="65"/>
      <c r="D407" s="66"/>
      <c r="E407" s="886"/>
      <c r="F407" s="848"/>
      <c r="H407" s="797"/>
      <c r="I407" s="144"/>
      <c r="J407" s="15"/>
    </row>
    <row r="408" spans="1:14" ht="204">
      <c r="A408" s="126" t="str">
        <f t="shared" si="32"/>
        <v>A2</v>
      </c>
      <c r="B408" s="13">
        <v>11</v>
      </c>
      <c r="C408" s="349" t="s">
        <v>87</v>
      </c>
      <c r="D408" s="239" t="s">
        <v>1045</v>
      </c>
      <c r="E408" s="853"/>
      <c r="F408" s="848"/>
      <c r="H408" s="797"/>
      <c r="I408" s="144"/>
      <c r="J408" s="239"/>
      <c r="K408" s="38"/>
      <c r="L408" s="39"/>
      <c r="M408" s="143"/>
      <c r="N408" s="144"/>
    </row>
    <row r="409" spans="1:14">
      <c r="A409" s="126"/>
      <c r="C409" s="65"/>
      <c r="D409" s="239" t="s">
        <v>91</v>
      </c>
      <c r="E409" s="853"/>
      <c r="F409" s="351"/>
      <c r="G409" s="819"/>
      <c r="H409" s="797"/>
      <c r="I409" s="144"/>
      <c r="J409" s="239"/>
      <c r="K409" s="38"/>
      <c r="L409" s="39"/>
      <c r="M409" s="193"/>
      <c r="N409" s="193"/>
    </row>
    <row r="410" spans="1:14">
      <c r="A410" s="126"/>
      <c r="C410" s="65"/>
      <c r="D410" s="239" t="s">
        <v>778</v>
      </c>
      <c r="E410" s="853"/>
      <c r="F410" s="848" t="s">
        <v>12</v>
      </c>
      <c r="G410" s="352">
        <v>35.340000000000003</v>
      </c>
      <c r="H410" s="797"/>
      <c r="I410" s="728">
        <f t="shared" ref="I410:I411" si="72">G410*H410</f>
        <v>0</v>
      </c>
      <c r="J410" s="214"/>
      <c r="K410" s="38"/>
      <c r="L410" s="39"/>
      <c r="M410" s="143"/>
      <c r="N410" s="193"/>
    </row>
    <row r="411" spans="1:14" ht="25.5">
      <c r="A411" s="126"/>
      <c r="C411" s="65"/>
      <c r="D411" s="239" t="s">
        <v>815</v>
      </c>
      <c r="E411" s="853"/>
      <c r="F411" s="848" t="s">
        <v>12</v>
      </c>
      <c r="G411" s="352">
        <f>G410</f>
        <v>35.340000000000003</v>
      </c>
      <c r="H411" s="797"/>
      <c r="I411" s="728">
        <f t="shared" si="72"/>
        <v>0</v>
      </c>
      <c r="J411" s="214"/>
      <c r="K411" s="165"/>
      <c r="L411" s="144"/>
      <c r="M411" s="143"/>
      <c r="N411" s="144"/>
    </row>
    <row r="412" spans="1:14">
      <c r="A412" s="126"/>
      <c r="C412" s="65"/>
      <c r="D412" s="239"/>
      <c r="E412" s="853"/>
      <c r="F412" s="848"/>
      <c r="H412" s="797"/>
      <c r="I412" s="144"/>
      <c r="J412" s="239"/>
      <c r="K412" s="165"/>
      <c r="L412" s="144"/>
      <c r="M412" s="143"/>
      <c r="N412" s="144"/>
    </row>
    <row r="413" spans="1:14">
      <c r="A413" s="126"/>
      <c r="C413" s="349" t="s">
        <v>390</v>
      </c>
      <c r="D413" s="239" t="s">
        <v>814</v>
      </c>
      <c r="E413" s="853"/>
      <c r="F413" s="848"/>
      <c r="H413" s="797"/>
      <c r="I413" s="144"/>
      <c r="J413" s="239"/>
      <c r="K413" s="165"/>
      <c r="L413" s="144"/>
      <c r="M413" s="143"/>
      <c r="N413" s="193"/>
    </row>
    <row r="414" spans="1:14">
      <c r="A414" s="126"/>
      <c r="C414" s="65"/>
      <c r="D414" s="239" t="s">
        <v>706</v>
      </c>
      <c r="E414" s="853"/>
      <c r="F414" s="351"/>
      <c r="G414" s="819"/>
      <c r="H414" s="797"/>
      <c r="I414" s="144"/>
      <c r="J414" s="214"/>
      <c r="K414" s="165"/>
      <c r="L414" s="144"/>
      <c r="M414" s="143"/>
      <c r="N414" s="193"/>
    </row>
    <row r="415" spans="1:14">
      <c r="A415" s="126"/>
      <c r="C415" s="65"/>
      <c r="D415" s="239" t="s">
        <v>778</v>
      </c>
      <c r="E415" s="853"/>
      <c r="F415" s="848" t="s">
        <v>8</v>
      </c>
      <c r="G415" s="352">
        <f>33.25+0.17*18</f>
        <v>36.31</v>
      </c>
      <c r="H415" s="797"/>
      <c r="I415" s="728">
        <f t="shared" ref="I415:I416" si="73">G415*H415</f>
        <v>0</v>
      </c>
      <c r="J415" s="66"/>
      <c r="K415" s="38"/>
      <c r="L415" s="39"/>
      <c r="M415" s="143"/>
      <c r="N415" s="144"/>
    </row>
    <row r="416" spans="1:14">
      <c r="A416" s="126"/>
      <c r="C416" s="65"/>
      <c r="D416" s="239" t="s">
        <v>816</v>
      </c>
      <c r="E416" s="853"/>
      <c r="F416" s="848" t="s">
        <v>8</v>
      </c>
      <c r="G416" s="352">
        <f>G415</f>
        <v>36.31</v>
      </c>
      <c r="H416" s="797"/>
      <c r="I416" s="728">
        <f t="shared" si="73"/>
        <v>0</v>
      </c>
      <c r="J416" s="239"/>
      <c r="K416" s="38"/>
      <c r="L416" s="39"/>
      <c r="M416" s="143"/>
      <c r="N416" s="144"/>
    </row>
    <row r="417" spans="1:14">
      <c r="A417" s="126" t="str">
        <f t="shared" si="32"/>
        <v>A2</v>
      </c>
      <c r="B417" s="13">
        <v>11</v>
      </c>
      <c r="C417" s="65"/>
      <c r="D417" s="66"/>
      <c r="E417" s="886"/>
      <c r="F417" s="848"/>
      <c r="H417" s="797"/>
      <c r="I417" s="144"/>
      <c r="J417" s="239"/>
      <c r="K417" s="38"/>
      <c r="L417" s="39"/>
      <c r="M417" s="143"/>
      <c r="N417" s="193"/>
    </row>
    <row r="418" spans="1:14" ht="178.5">
      <c r="A418" s="126" t="str">
        <f t="shared" si="32"/>
        <v>A2</v>
      </c>
      <c r="B418" s="13">
        <v>11</v>
      </c>
      <c r="C418" s="349" t="s">
        <v>391</v>
      </c>
      <c r="D418" s="239" t="s">
        <v>1046</v>
      </c>
      <c r="E418" s="853"/>
      <c r="F418" s="192"/>
      <c r="G418" s="784"/>
      <c r="H418" s="809"/>
      <c r="I418" s="193"/>
      <c r="J418" s="214"/>
      <c r="K418" s="38"/>
      <c r="L418" s="39"/>
      <c r="M418" s="143"/>
      <c r="N418" s="193"/>
    </row>
    <row r="419" spans="1:14">
      <c r="A419" s="126" t="str">
        <f t="shared" si="32"/>
        <v>A2</v>
      </c>
      <c r="B419" s="13">
        <v>11</v>
      </c>
      <c r="C419" s="202"/>
      <c r="D419" s="239" t="s">
        <v>91</v>
      </c>
      <c r="E419" s="853"/>
      <c r="F419" s="192"/>
      <c r="G419" s="784"/>
      <c r="H419" s="809"/>
      <c r="I419" s="193"/>
      <c r="J419" s="239"/>
      <c r="K419" s="38"/>
      <c r="L419" s="39"/>
      <c r="M419" s="143"/>
      <c r="N419" s="144"/>
    </row>
    <row r="420" spans="1:14">
      <c r="A420" s="126"/>
      <c r="C420" s="65"/>
      <c r="D420" s="239" t="s">
        <v>778</v>
      </c>
      <c r="E420" s="853"/>
      <c r="F420" s="192" t="s">
        <v>12</v>
      </c>
      <c r="G420" s="352">
        <f>47.34</f>
        <v>47.34</v>
      </c>
      <c r="H420" s="797"/>
      <c r="I420" s="728">
        <f t="shared" ref="I420:I421" si="74">G420*H420</f>
        <v>0</v>
      </c>
      <c r="J420" s="239"/>
      <c r="K420" s="38"/>
      <c r="L420" s="39"/>
      <c r="M420" s="143"/>
      <c r="N420" s="144"/>
    </row>
    <row r="421" spans="1:14" ht="25.5">
      <c r="A421" s="126" t="str">
        <f t="shared" si="32"/>
        <v>A2</v>
      </c>
      <c r="B421" s="13">
        <v>11</v>
      </c>
      <c r="C421" s="202"/>
      <c r="D421" s="239" t="s">
        <v>89</v>
      </c>
      <c r="E421" s="853"/>
      <c r="F421" s="192" t="s">
        <v>12</v>
      </c>
      <c r="G421" s="784">
        <f>G420</f>
        <v>47.34</v>
      </c>
      <c r="H421" s="809"/>
      <c r="I421" s="728">
        <f t="shared" si="74"/>
        <v>0</v>
      </c>
      <c r="J421" s="239"/>
      <c r="K421" s="38"/>
      <c r="L421" s="39"/>
      <c r="M421" s="143"/>
      <c r="N421" s="193"/>
    </row>
    <row r="422" spans="1:14">
      <c r="A422" s="126" t="str">
        <f t="shared" si="32"/>
        <v>A2</v>
      </c>
      <c r="B422" s="13">
        <v>11</v>
      </c>
      <c r="C422" s="202"/>
      <c r="D422" s="239"/>
      <c r="E422" s="853"/>
      <c r="F422" s="192"/>
      <c r="G422" s="784"/>
      <c r="H422" s="809"/>
      <c r="I422" s="193"/>
      <c r="J422" s="214"/>
      <c r="K422" s="38"/>
      <c r="L422" s="39"/>
      <c r="M422" s="143"/>
      <c r="N422" s="193"/>
    </row>
    <row r="423" spans="1:14" ht="38.25">
      <c r="A423" s="126" t="str">
        <f t="shared" si="32"/>
        <v>A2</v>
      </c>
      <c r="B423" s="13">
        <v>11</v>
      </c>
      <c r="C423" s="202" t="s">
        <v>392</v>
      </c>
      <c r="D423" s="239" t="s">
        <v>780</v>
      </c>
      <c r="E423" s="853"/>
      <c r="F423" s="192"/>
      <c r="G423" s="784"/>
      <c r="H423" s="809"/>
      <c r="I423" s="193"/>
      <c r="J423" s="239"/>
      <c r="K423" s="38"/>
      <c r="L423" s="39"/>
      <c r="M423" s="143"/>
      <c r="N423" s="144"/>
    </row>
    <row r="424" spans="1:14">
      <c r="A424" s="126" t="str">
        <f t="shared" si="32"/>
        <v>A2</v>
      </c>
      <c r="B424" s="13">
        <v>11</v>
      </c>
      <c r="C424" s="202"/>
      <c r="D424" s="239" t="s">
        <v>383</v>
      </c>
      <c r="E424" s="853"/>
      <c r="F424" s="192" t="s">
        <v>56</v>
      </c>
      <c r="G424" s="784">
        <f>2.9*10</f>
        <v>29</v>
      </c>
      <c r="H424" s="809"/>
      <c r="I424" s="728">
        <f t="shared" ref="I424" si="75">G424*H424</f>
        <v>0</v>
      </c>
      <c r="J424" s="239"/>
      <c r="K424" s="175"/>
      <c r="L424" s="193"/>
      <c r="M424" s="193"/>
      <c r="N424" s="193"/>
    </row>
    <row r="425" spans="1:14">
      <c r="A425" s="126" t="str">
        <f t="shared" si="32"/>
        <v>A2</v>
      </c>
      <c r="B425" s="13">
        <v>11</v>
      </c>
      <c r="C425" s="202"/>
      <c r="D425" s="239"/>
      <c r="E425" s="853"/>
      <c r="F425" s="192"/>
      <c r="G425" s="784"/>
      <c r="H425" s="809"/>
      <c r="I425" s="193"/>
      <c r="J425" s="214"/>
      <c r="K425" s="175"/>
      <c r="L425" s="193"/>
      <c r="M425" s="193"/>
      <c r="N425" s="193"/>
    </row>
    <row r="426" spans="1:14">
      <c r="A426" s="126"/>
      <c r="C426" s="349" t="s">
        <v>393</v>
      </c>
      <c r="D426" s="239" t="s">
        <v>886</v>
      </c>
      <c r="E426" s="853"/>
      <c r="F426" s="848"/>
      <c r="H426" s="797"/>
      <c r="I426" s="193"/>
      <c r="J426" s="239"/>
      <c r="K426" s="175"/>
      <c r="L426" s="193"/>
      <c r="M426" s="193"/>
      <c r="N426" s="193"/>
    </row>
    <row r="427" spans="1:14">
      <c r="A427" s="126"/>
      <c r="D427" s="239" t="s">
        <v>894</v>
      </c>
      <c r="E427" s="853"/>
      <c r="F427" s="848"/>
      <c r="H427" s="797"/>
      <c r="I427" s="193"/>
      <c r="J427" s="214"/>
      <c r="K427" s="175"/>
      <c r="L427" s="193"/>
      <c r="M427" s="193"/>
      <c r="N427" s="193"/>
    </row>
    <row r="428" spans="1:14" ht="25.5">
      <c r="A428" s="126"/>
      <c r="D428" s="239" t="s">
        <v>887</v>
      </c>
      <c r="E428" s="853"/>
      <c r="F428" s="848"/>
      <c r="H428" s="797"/>
      <c r="I428" s="193"/>
      <c r="J428" s="214"/>
      <c r="K428" s="175"/>
      <c r="L428" s="193"/>
      <c r="M428" s="193"/>
      <c r="N428" s="193"/>
    </row>
    <row r="429" spans="1:14">
      <c r="A429" s="126"/>
      <c r="D429" s="239" t="s">
        <v>895</v>
      </c>
      <c r="E429" s="853"/>
      <c r="F429" s="848"/>
      <c r="H429" s="797"/>
      <c r="I429" s="193"/>
      <c r="J429" s="239"/>
      <c r="K429" s="175"/>
      <c r="L429" s="193"/>
      <c r="M429" s="193"/>
      <c r="N429" s="193"/>
    </row>
    <row r="430" spans="1:14">
      <c r="A430" s="126"/>
      <c r="D430" s="239" t="s">
        <v>888</v>
      </c>
      <c r="E430" s="853"/>
      <c r="F430" s="848"/>
      <c r="H430" s="797"/>
      <c r="I430" s="193"/>
      <c r="J430" s="214"/>
      <c r="K430" s="175"/>
      <c r="L430" s="193"/>
      <c r="M430" s="193"/>
      <c r="N430" s="193"/>
    </row>
    <row r="431" spans="1:14">
      <c r="A431" s="126"/>
      <c r="D431" s="239" t="s">
        <v>889</v>
      </c>
      <c r="E431" s="853"/>
      <c r="F431" s="848"/>
      <c r="H431" s="797"/>
      <c r="I431" s="193"/>
      <c r="J431" s="239"/>
      <c r="K431" s="175"/>
      <c r="L431" s="193"/>
      <c r="M431" s="193"/>
      <c r="N431" s="193"/>
    </row>
    <row r="432" spans="1:14">
      <c r="A432" s="126"/>
      <c r="D432" s="239" t="s">
        <v>890</v>
      </c>
      <c r="E432" s="853"/>
      <c r="F432" s="848"/>
      <c r="H432" s="797"/>
      <c r="I432" s="193"/>
      <c r="J432" s="214"/>
      <c r="K432" s="175"/>
      <c r="L432" s="193"/>
      <c r="M432" s="193"/>
      <c r="N432" s="193"/>
    </row>
    <row r="433" spans="1:14" ht="25.5">
      <c r="A433" s="126"/>
      <c r="D433" s="239" t="s">
        <v>891</v>
      </c>
      <c r="E433" s="853"/>
      <c r="F433" s="848"/>
      <c r="H433" s="797"/>
      <c r="I433" s="193"/>
      <c r="J433" s="214"/>
      <c r="K433" s="175"/>
      <c r="L433" s="193"/>
      <c r="M433" s="193"/>
      <c r="N433" s="193"/>
    </row>
    <row r="434" spans="1:14">
      <c r="A434" s="126"/>
      <c r="D434" s="239" t="s">
        <v>892</v>
      </c>
      <c r="E434" s="853"/>
      <c r="F434" s="848"/>
      <c r="H434" s="797"/>
      <c r="I434" s="193"/>
      <c r="J434" s="239"/>
      <c r="K434" s="175"/>
      <c r="L434" s="193"/>
      <c r="M434" s="193"/>
      <c r="N434" s="193"/>
    </row>
    <row r="435" spans="1:14">
      <c r="A435" s="126"/>
      <c r="D435" s="239" t="s">
        <v>893</v>
      </c>
      <c r="E435" s="853"/>
      <c r="F435" s="192" t="s">
        <v>56</v>
      </c>
      <c r="G435" s="784">
        <v>5.9</v>
      </c>
      <c r="H435" s="809"/>
      <c r="I435" s="728">
        <f t="shared" ref="I435" si="76">G435*H435</f>
        <v>0</v>
      </c>
      <c r="J435" s="214"/>
      <c r="K435" s="175"/>
      <c r="L435" s="193"/>
      <c r="M435" s="193"/>
      <c r="N435" s="193"/>
    </row>
    <row r="436" spans="1:14">
      <c r="A436" s="126"/>
      <c r="D436" s="239"/>
      <c r="E436" s="853"/>
      <c r="F436" s="848"/>
      <c r="H436" s="797"/>
      <c r="I436" s="193"/>
      <c r="J436" s="239"/>
      <c r="K436" s="175"/>
      <c r="L436" s="193"/>
      <c r="M436" s="193"/>
      <c r="N436" s="193"/>
    </row>
    <row r="437" spans="1:14">
      <c r="A437" s="126"/>
      <c r="E437" s="883"/>
      <c r="F437" s="848"/>
      <c r="H437" s="797"/>
      <c r="I437" s="144"/>
      <c r="J437" s="214"/>
      <c r="K437" s="175"/>
      <c r="L437" s="193"/>
      <c r="M437" s="193"/>
      <c r="N437" s="193"/>
    </row>
    <row r="438" spans="1:14">
      <c r="A438" s="126" t="str">
        <f t="shared" si="32"/>
        <v>A2</v>
      </c>
      <c r="B438" s="13">
        <v>11</v>
      </c>
      <c r="C438" s="131">
        <f>C406</f>
        <v>11</v>
      </c>
      <c r="D438" s="119" t="str">
        <f>D406</f>
        <v>KERAMIČARSKI RADOVI</v>
      </c>
      <c r="E438" s="869"/>
      <c r="F438" s="984"/>
      <c r="G438" s="798"/>
      <c r="H438" s="799"/>
      <c r="I438" s="153">
        <f>SUM(I408:I437)</f>
        <v>0</v>
      </c>
      <c r="J438" s="214"/>
      <c r="K438" s="175"/>
      <c r="L438" s="193"/>
      <c r="M438" s="193"/>
      <c r="N438" s="193"/>
    </row>
    <row r="439" spans="1:14">
      <c r="A439" s="126" t="str">
        <f t="shared" si="32"/>
        <v>A2</v>
      </c>
      <c r="C439" s="65"/>
      <c r="D439" s="66"/>
      <c r="E439" s="886"/>
      <c r="F439" s="848"/>
      <c r="H439" s="797"/>
      <c r="I439" s="144"/>
      <c r="J439" s="239"/>
      <c r="K439" s="175"/>
      <c r="L439" s="193"/>
      <c r="M439" s="193"/>
      <c r="N439" s="193"/>
    </row>
    <row r="440" spans="1:14">
      <c r="A440" s="126" t="str">
        <f t="shared" si="32"/>
        <v>A2</v>
      </c>
      <c r="B440" s="13">
        <v>12</v>
      </c>
      <c r="C440" s="125">
        <v>12</v>
      </c>
      <c r="D440" s="120" t="s">
        <v>761</v>
      </c>
      <c r="E440" s="865"/>
      <c r="F440" s="986"/>
      <c r="G440" s="801"/>
      <c r="H440" s="796"/>
      <c r="I440" s="154"/>
      <c r="J440" s="214"/>
      <c r="K440" s="175"/>
      <c r="L440" s="193"/>
      <c r="M440" s="193"/>
      <c r="N440" s="193"/>
    </row>
    <row r="441" spans="1:14">
      <c r="A441" s="126" t="str">
        <f t="shared" si="32"/>
        <v>A2</v>
      </c>
      <c r="B441" s="13">
        <v>12</v>
      </c>
      <c r="C441" s="65"/>
      <c r="D441" s="66"/>
      <c r="E441" s="886"/>
      <c r="F441" s="848"/>
      <c r="H441" s="797"/>
      <c r="I441" s="144"/>
      <c r="J441" s="239"/>
      <c r="K441" s="175"/>
      <c r="L441" s="176"/>
      <c r="M441" s="193"/>
      <c r="N441" s="193"/>
    </row>
    <row r="442" spans="1:14" ht="76.5">
      <c r="A442" s="126"/>
      <c r="C442" s="202" t="s">
        <v>96</v>
      </c>
      <c r="D442" s="402" t="s">
        <v>948</v>
      </c>
      <c r="E442" s="967"/>
      <c r="F442" s="848"/>
      <c r="H442" s="797"/>
      <c r="I442" s="144"/>
      <c r="J442" s="214"/>
      <c r="K442" s="175"/>
      <c r="L442" s="176"/>
      <c r="M442" s="193"/>
      <c r="N442" s="193"/>
    </row>
    <row r="443" spans="1:14" ht="63.75">
      <c r="A443" s="126"/>
      <c r="C443" s="202"/>
      <c r="D443" s="403" t="s">
        <v>835</v>
      </c>
      <c r="E443" s="968"/>
      <c r="F443" s="848"/>
      <c r="H443" s="797"/>
      <c r="I443" s="144"/>
      <c r="J443" s="214"/>
      <c r="K443" s="175"/>
      <c r="L443" s="193"/>
      <c r="M443" s="193"/>
      <c r="N443" s="193"/>
    </row>
    <row r="444" spans="1:14">
      <c r="A444" s="126" t="str">
        <f t="shared" si="32"/>
        <v>A2</v>
      </c>
      <c r="B444" s="13">
        <v>12</v>
      </c>
      <c r="C444" s="202"/>
      <c r="D444" s="239" t="s">
        <v>837</v>
      </c>
      <c r="E444" s="853"/>
      <c r="F444" s="351"/>
      <c r="G444" s="819"/>
      <c r="I444" s="934"/>
      <c r="J444" s="239"/>
      <c r="K444" s="175"/>
      <c r="L444" s="193"/>
      <c r="M444" s="193"/>
      <c r="N444" s="193"/>
    </row>
    <row r="445" spans="1:14">
      <c r="A445" s="126"/>
      <c r="C445" s="202"/>
      <c r="D445" s="239" t="s">
        <v>606</v>
      </c>
      <c r="E445" s="853"/>
      <c r="F445" s="192" t="s">
        <v>12</v>
      </c>
      <c r="G445" s="784">
        <f>14.5+14.8+13.7+15+21+23.5+14+12+7</f>
        <v>135.5</v>
      </c>
      <c r="H445" s="797"/>
      <c r="I445" s="728">
        <f t="shared" ref="I445:I446" si="77">G445*H445</f>
        <v>0</v>
      </c>
      <c r="J445" s="214"/>
      <c r="K445" s="175"/>
      <c r="L445" s="193"/>
      <c r="M445" s="193"/>
      <c r="N445" s="193"/>
    </row>
    <row r="446" spans="1:14">
      <c r="A446" s="126"/>
      <c r="D446" s="359" t="s">
        <v>836</v>
      </c>
      <c r="E446" s="969"/>
      <c r="F446" s="848" t="s">
        <v>514</v>
      </c>
      <c r="G446" s="790">
        <v>168.31</v>
      </c>
      <c r="H446" s="797"/>
      <c r="I446" s="728">
        <f t="shared" si="77"/>
        <v>0</v>
      </c>
      <c r="J446" s="239"/>
      <c r="K446" s="175"/>
      <c r="L446" s="193"/>
      <c r="M446" s="193"/>
      <c r="N446" s="193"/>
    </row>
    <row r="447" spans="1:14">
      <c r="A447" s="126"/>
      <c r="E447" s="883"/>
      <c r="F447" s="848"/>
      <c r="H447" s="797"/>
      <c r="I447" s="144"/>
      <c r="J447" s="214"/>
      <c r="K447" s="175"/>
      <c r="L447" s="193"/>
      <c r="M447" s="193"/>
      <c r="N447" s="193"/>
    </row>
    <row r="448" spans="1:14">
      <c r="A448" s="126" t="str">
        <f t="shared" si="32"/>
        <v>A2</v>
      </c>
      <c r="B448" s="13">
        <v>12</v>
      </c>
      <c r="C448" s="131">
        <f>C440</f>
        <v>12</v>
      </c>
      <c r="D448" s="119" t="str">
        <f>D440</f>
        <v>PODOPOLAGAČKI RADOVI</v>
      </c>
      <c r="E448" s="869"/>
      <c r="F448" s="984"/>
      <c r="G448" s="798"/>
      <c r="H448" s="799"/>
      <c r="I448" s="153">
        <f>SUM(I445:I447)</f>
        <v>0</v>
      </c>
      <c r="J448" s="214"/>
      <c r="K448" s="175"/>
      <c r="L448" s="193"/>
      <c r="M448" s="193"/>
      <c r="N448" s="193"/>
    </row>
    <row r="449" spans="1:14">
      <c r="A449" s="126" t="str">
        <f t="shared" si="32"/>
        <v>A2</v>
      </c>
      <c r="C449" s="132"/>
      <c r="D449" s="44"/>
      <c r="E449" s="871"/>
      <c r="F449" s="848"/>
      <c r="H449" s="797"/>
      <c r="I449" s="144"/>
      <c r="J449" s="239"/>
      <c r="K449" s="175"/>
      <c r="L449" s="193"/>
      <c r="M449" s="193"/>
      <c r="N449" s="193"/>
    </row>
    <row r="450" spans="1:14">
      <c r="A450" s="126" t="str">
        <f t="shared" si="32"/>
        <v>A2</v>
      </c>
      <c r="B450" s="13">
        <v>12</v>
      </c>
      <c r="C450" s="125">
        <v>13</v>
      </c>
      <c r="D450" s="120" t="s">
        <v>1055</v>
      </c>
      <c r="E450" s="865"/>
      <c r="F450" s="986"/>
      <c r="G450" s="801"/>
      <c r="H450" s="796"/>
      <c r="I450" s="154"/>
      <c r="J450" s="239"/>
      <c r="K450" s="175"/>
      <c r="L450" s="193"/>
      <c r="M450" s="193"/>
      <c r="N450" s="193"/>
    </row>
    <row r="451" spans="1:14">
      <c r="A451" s="126" t="str">
        <f t="shared" si="32"/>
        <v>A2</v>
      </c>
      <c r="B451" s="13">
        <v>12</v>
      </c>
      <c r="C451" s="65"/>
      <c r="D451" s="66"/>
      <c r="E451" s="886"/>
      <c r="F451" s="848"/>
      <c r="H451" s="797"/>
      <c r="I451" s="144"/>
      <c r="J451" s="239"/>
      <c r="K451" s="175"/>
      <c r="L451" s="193"/>
      <c r="M451" s="193"/>
      <c r="N451" s="193"/>
    </row>
    <row r="452" spans="1:14" ht="25.5">
      <c r="A452" s="126"/>
      <c r="C452" s="202" t="s">
        <v>88</v>
      </c>
      <c r="D452" s="239" t="s">
        <v>875</v>
      </c>
      <c r="E452" s="853"/>
      <c r="F452" s="848"/>
      <c r="H452" s="797"/>
      <c r="I452" s="144"/>
      <c r="J452" s="214"/>
      <c r="K452" s="175"/>
      <c r="L452" s="193"/>
      <c r="M452" s="193"/>
      <c r="N452" s="193"/>
    </row>
    <row r="453" spans="1:14" ht="63.75">
      <c r="A453" s="126"/>
      <c r="C453" s="65"/>
      <c r="D453" s="239" t="s">
        <v>879</v>
      </c>
      <c r="E453" s="853"/>
      <c r="F453" s="848"/>
      <c r="H453" s="797"/>
      <c r="I453" s="144"/>
      <c r="J453" s="214"/>
      <c r="K453" s="175"/>
      <c r="L453" s="193"/>
      <c r="M453" s="193"/>
      <c r="N453" s="193"/>
    </row>
    <row r="454" spans="1:14" ht="63.75">
      <c r="A454" s="126"/>
      <c r="C454" s="65"/>
      <c r="D454" s="239" t="s">
        <v>880</v>
      </c>
      <c r="E454" s="853"/>
      <c r="F454" s="848"/>
      <c r="H454" s="797"/>
      <c r="I454" s="144"/>
      <c r="J454" s="239"/>
      <c r="K454" s="175"/>
      <c r="L454" s="193"/>
      <c r="M454" s="193"/>
      <c r="N454" s="193"/>
    </row>
    <row r="455" spans="1:14" ht="25.5">
      <c r="A455" s="126"/>
      <c r="C455" s="65"/>
      <c r="D455" s="239" t="s">
        <v>876</v>
      </c>
      <c r="E455" s="853"/>
      <c r="F455" s="848"/>
      <c r="H455" s="797"/>
      <c r="I455" s="144"/>
      <c r="J455" s="214"/>
      <c r="K455" s="175"/>
      <c r="L455" s="176"/>
      <c r="M455" s="193"/>
      <c r="N455" s="193"/>
    </row>
    <row r="456" spans="1:14" ht="38.25">
      <c r="A456" s="126"/>
      <c r="C456" s="65"/>
      <c r="D456" s="239" t="s">
        <v>878</v>
      </c>
      <c r="E456" s="853"/>
      <c r="F456" s="849" t="s">
        <v>514</v>
      </c>
      <c r="G456" s="785">
        <v>15</v>
      </c>
      <c r="H456" s="809"/>
      <c r="I456" s="728">
        <f t="shared" ref="I456" si="78">G456*H456</f>
        <v>0</v>
      </c>
      <c r="J456" s="218"/>
    </row>
    <row r="457" spans="1:14">
      <c r="A457" s="126"/>
      <c r="C457" s="65"/>
      <c r="D457" s="239"/>
      <c r="E457" s="853"/>
      <c r="F457" s="848"/>
      <c r="H457" s="797"/>
      <c r="I457" s="144"/>
      <c r="J457" s="15"/>
    </row>
    <row r="458" spans="1:14" ht="25.5">
      <c r="A458" s="126"/>
      <c r="C458" s="202" t="s">
        <v>423</v>
      </c>
      <c r="D458" s="239" t="s">
        <v>1052</v>
      </c>
      <c r="E458" s="853"/>
      <c r="F458" s="848"/>
      <c r="H458" s="797"/>
      <c r="I458" s="144"/>
      <c r="J458" s="15"/>
    </row>
    <row r="459" spans="1:14" ht="63.75">
      <c r="A459" s="126"/>
      <c r="C459" s="65"/>
      <c r="D459" s="239" t="s">
        <v>1053</v>
      </c>
      <c r="E459" s="853"/>
      <c r="F459" s="848"/>
      <c r="H459" s="797"/>
      <c r="I459" s="144"/>
      <c r="J459" s="15"/>
    </row>
    <row r="460" spans="1:14" ht="25.5">
      <c r="A460" s="126"/>
      <c r="C460" s="65"/>
      <c r="D460" s="239" t="s">
        <v>877</v>
      </c>
      <c r="E460" s="853"/>
      <c r="F460" s="848"/>
      <c r="H460" s="797"/>
      <c r="I460" s="144"/>
      <c r="J460" s="15"/>
    </row>
    <row r="461" spans="1:14" ht="25.5">
      <c r="A461" s="126"/>
      <c r="C461" s="65"/>
      <c r="D461" s="239" t="s">
        <v>1054</v>
      </c>
      <c r="E461" s="853"/>
      <c r="F461" s="848"/>
      <c r="H461" s="797"/>
      <c r="I461" s="144"/>
      <c r="J461" s="15"/>
    </row>
    <row r="462" spans="1:14" ht="38.25">
      <c r="A462" s="126"/>
      <c r="C462" s="65"/>
      <c r="D462" s="239" t="s">
        <v>881</v>
      </c>
      <c r="E462" s="853"/>
      <c r="F462" s="849" t="s">
        <v>514</v>
      </c>
      <c r="G462" s="785">
        <v>74</v>
      </c>
      <c r="H462" s="809"/>
      <c r="I462" s="728">
        <f t="shared" ref="I462" si="79">G462*H462</f>
        <v>0</v>
      </c>
      <c r="J462" s="218"/>
    </row>
    <row r="463" spans="1:14">
      <c r="A463" s="126"/>
      <c r="C463" s="65"/>
      <c r="D463" s="239"/>
      <c r="E463" s="853"/>
      <c r="F463" s="848"/>
      <c r="H463" s="797"/>
      <c r="I463" s="144"/>
      <c r="J463" s="15"/>
    </row>
    <row r="464" spans="1:14">
      <c r="A464" s="126" t="str">
        <f t="shared" si="32"/>
        <v>A2</v>
      </c>
      <c r="B464" s="13">
        <v>12</v>
      </c>
      <c r="C464" s="131">
        <f>C450</f>
        <v>13</v>
      </c>
      <c r="D464" s="119" t="str">
        <f>D450</f>
        <v>LIMARSKI I STOLARSKI RADOVI - ODVODNJA OBORINSKIH VODA</v>
      </c>
      <c r="E464" s="869"/>
      <c r="F464" s="984"/>
      <c r="G464" s="798"/>
      <c r="H464" s="799"/>
      <c r="I464" s="153">
        <f>SUM(I456:I462)</f>
        <v>0</v>
      </c>
    </row>
    <row r="465" spans="1:10">
      <c r="A465" s="126"/>
      <c r="C465" s="132"/>
      <c r="D465" s="44"/>
      <c r="E465" s="871"/>
      <c r="F465" s="848"/>
      <c r="H465" s="797"/>
      <c r="I465" s="144"/>
      <c r="J465" s="15"/>
    </row>
    <row r="466" spans="1:10">
      <c r="A466" s="126"/>
      <c r="C466" s="132"/>
      <c r="D466" s="44"/>
      <c r="E466" s="871"/>
      <c r="F466" s="848"/>
      <c r="H466" s="797"/>
      <c r="I466" s="144"/>
      <c r="J466" s="15"/>
    </row>
    <row r="467" spans="1:10">
      <c r="A467" s="126" t="str">
        <f t="shared" si="32"/>
        <v>A2</v>
      </c>
      <c r="B467" s="13">
        <v>12</v>
      </c>
      <c r="C467" s="125">
        <v>14</v>
      </c>
      <c r="D467" s="120" t="s">
        <v>897</v>
      </c>
      <c r="E467" s="865"/>
      <c r="F467" s="986"/>
      <c r="G467" s="801"/>
      <c r="H467" s="796"/>
      <c r="I467" s="154"/>
      <c r="J467" s="15"/>
    </row>
    <row r="468" spans="1:10">
      <c r="A468" s="126" t="str">
        <f t="shared" si="32"/>
        <v>A2</v>
      </c>
      <c r="B468" s="13">
        <v>12</v>
      </c>
      <c r="C468" s="65"/>
      <c r="D468" s="66"/>
      <c r="E468" s="886"/>
      <c r="F468" s="848"/>
      <c r="H468" s="797"/>
      <c r="I468" s="144"/>
      <c r="J468" s="15"/>
    </row>
    <row r="469" spans="1:10" ht="25.5">
      <c r="A469" s="126" t="str">
        <f t="shared" si="32"/>
        <v>A2</v>
      </c>
      <c r="B469" s="13">
        <v>12</v>
      </c>
      <c r="C469" s="202" t="s">
        <v>762</v>
      </c>
      <c r="D469" s="404" t="s">
        <v>979</v>
      </c>
      <c r="E469" s="970"/>
      <c r="F469" s="192"/>
      <c r="G469" s="784"/>
      <c r="H469" s="809"/>
      <c r="I469" s="193"/>
      <c r="J469" s="15"/>
    </row>
    <row r="470" spans="1:10">
      <c r="A470" s="126"/>
      <c r="C470" s="202"/>
      <c r="D470" s="404" t="s">
        <v>903</v>
      </c>
      <c r="E470" s="970"/>
      <c r="F470" s="192"/>
      <c r="G470" s="784"/>
      <c r="H470" s="809"/>
      <c r="I470" s="193"/>
      <c r="J470" s="15"/>
    </row>
    <row r="471" spans="1:10">
      <c r="A471" s="126"/>
      <c r="C471" s="202"/>
      <c r="D471" s="404" t="s">
        <v>998</v>
      </c>
      <c r="E471" s="970"/>
      <c r="F471" s="192"/>
      <c r="G471" s="784"/>
      <c r="H471" s="809"/>
      <c r="I471" s="193"/>
      <c r="J471" s="15"/>
    </row>
    <row r="472" spans="1:10" ht="25.5">
      <c r="A472" s="126"/>
      <c r="C472" s="202"/>
      <c r="D472" s="404" t="s">
        <v>980</v>
      </c>
      <c r="E472" s="970"/>
      <c r="F472" s="192"/>
      <c r="G472" s="784"/>
      <c r="H472" s="809"/>
      <c r="I472" s="193"/>
      <c r="J472" s="15"/>
    </row>
    <row r="473" spans="1:10" ht="63.75">
      <c r="A473" s="126"/>
      <c r="C473" s="202"/>
      <c r="D473" s="404" t="s">
        <v>900</v>
      </c>
      <c r="E473" s="970"/>
      <c r="F473" s="192"/>
      <c r="G473" s="784"/>
      <c r="H473" s="809"/>
      <c r="I473" s="193"/>
      <c r="J473" s="15"/>
    </row>
    <row r="474" spans="1:10" ht="38.25">
      <c r="A474" s="126"/>
      <c r="C474" s="202"/>
      <c r="D474" s="404" t="s">
        <v>901</v>
      </c>
      <c r="E474" s="970"/>
      <c r="F474" s="192"/>
      <c r="G474" s="784"/>
      <c r="H474" s="809"/>
      <c r="I474" s="193"/>
      <c r="J474" s="15"/>
    </row>
    <row r="475" spans="1:10">
      <c r="A475" s="126"/>
      <c r="C475" s="202"/>
      <c r="D475" s="404" t="s">
        <v>902</v>
      </c>
      <c r="E475" s="970"/>
      <c r="F475" s="848" t="s">
        <v>514</v>
      </c>
      <c r="G475" s="784">
        <v>5</v>
      </c>
      <c r="H475" s="797"/>
      <c r="I475" s="728">
        <f t="shared" ref="I475" si="80">G475*H475</f>
        <v>0</v>
      </c>
      <c r="J475" s="15"/>
    </row>
    <row r="476" spans="1:10">
      <c r="A476" s="126"/>
      <c r="C476" s="202"/>
      <c r="D476" s="404"/>
      <c r="E476" s="970"/>
      <c r="F476" s="848"/>
      <c r="G476" s="784"/>
      <c r="H476" s="797"/>
      <c r="I476" s="193"/>
      <c r="J476" s="15"/>
    </row>
    <row r="477" spans="1:10">
      <c r="A477" s="126"/>
      <c r="C477" s="202" t="s">
        <v>763</v>
      </c>
      <c r="D477" s="404" t="s">
        <v>969</v>
      </c>
      <c r="E477" s="970"/>
      <c r="F477" s="848"/>
      <c r="G477" s="784"/>
      <c r="H477" s="797"/>
      <c r="I477" s="193"/>
      <c r="J477" s="15"/>
    </row>
    <row r="478" spans="1:10">
      <c r="A478" s="126"/>
      <c r="C478" s="202"/>
      <c r="D478" s="404" t="s">
        <v>960</v>
      </c>
      <c r="E478" s="970"/>
      <c r="F478" s="848"/>
      <c r="G478" s="784"/>
      <c r="H478" s="797"/>
      <c r="I478" s="193"/>
      <c r="J478" s="15"/>
    </row>
    <row r="479" spans="1:10">
      <c r="A479" s="126"/>
      <c r="C479" s="202"/>
      <c r="D479" s="404" t="s">
        <v>961</v>
      </c>
      <c r="E479" s="970"/>
      <c r="F479" s="848"/>
      <c r="G479" s="784"/>
      <c r="H479" s="797"/>
      <c r="I479" s="193"/>
      <c r="J479" s="15"/>
    </row>
    <row r="480" spans="1:10">
      <c r="A480" s="126"/>
      <c r="C480" s="202"/>
      <c r="D480" s="404" t="s">
        <v>962</v>
      </c>
      <c r="E480" s="970"/>
      <c r="F480" s="848"/>
      <c r="G480" s="784"/>
      <c r="H480" s="797"/>
      <c r="I480" s="193"/>
      <c r="J480" s="15"/>
    </row>
    <row r="481" spans="1:10">
      <c r="A481" s="126"/>
      <c r="C481" s="202"/>
      <c r="D481" s="404" t="s">
        <v>963</v>
      </c>
      <c r="E481" s="970"/>
      <c r="F481" s="848"/>
      <c r="G481" s="784"/>
      <c r="H481" s="797"/>
      <c r="I481" s="193"/>
      <c r="J481" s="15"/>
    </row>
    <row r="482" spans="1:10">
      <c r="A482" s="126"/>
      <c r="C482" s="202"/>
      <c r="D482" s="404" t="s">
        <v>964</v>
      </c>
      <c r="E482" s="970"/>
      <c r="F482" s="848"/>
      <c r="G482" s="784"/>
      <c r="H482" s="797"/>
      <c r="I482" s="193"/>
      <c r="J482" s="15"/>
    </row>
    <row r="483" spans="1:10">
      <c r="A483" s="126"/>
      <c r="C483" s="202"/>
      <c r="D483" s="404" t="s">
        <v>965</v>
      </c>
      <c r="E483" s="970"/>
      <c r="F483" s="848"/>
      <c r="G483" s="784"/>
      <c r="H483" s="797"/>
      <c r="I483" s="193"/>
      <c r="J483" s="15"/>
    </row>
    <row r="484" spans="1:10">
      <c r="A484" s="126"/>
      <c r="C484" s="202"/>
      <c r="D484" s="404" t="s">
        <v>966</v>
      </c>
      <c r="E484" s="970"/>
      <c r="F484" s="848"/>
      <c r="G484" s="784"/>
      <c r="H484" s="797"/>
      <c r="I484" s="193"/>
      <c r="J484" s="15"/>
    </row>
    <row r="485" spans="1:10">
      <c r="A485" s="126"/>
      <c r="C485" s="202"/>
      <c r="D485" s="404" t="s">
        <v>967</v>
      </c>
      <c r="E485" s="970"/>
      <c r="F485" s="848"/>
      <c r="G485" s="784"/>
      <c r="H485" s="797"/>
      <c r="I485" s="193"/>
      <c r="J485" s="15"/>
    </row>
    <row r="486" spans="1:10">
      <c r="A486" s="126"/>
      <c r="C486" s="202"/>
      <c r="D486" s="404" t="s">
        <v>968</v>
      </c>
      <c r="E486" s="970"/>
      <c r="F486" s="848" t="s">
        <v>11</v>
      </c>
      <c r="G486" s="784">
        <v>3</v>
      </c>
      <c r="H486" s="797"/>
      <c r="I486" s="728">
        <f t="shared" ref="I486" si="81">G486*H486</f>
        <v>0</v>
      </c>
      <c r="J486" s="15"/>
    </row>
    <row r="487" spans="1:10">
      <c r="A487" s="126"/>
      <c r="C487" s="202"/>
      <c r="D487" s="239"/>
      <c r="E487" s="853"/>
      <c r="F487" s="192"/>
      <c r="G487" s="784"/>
      <c r="H487" s="809"/>
      <c r="I487" s="193"/>
      <c r="J487" s="15"/>
    </row>
    <row r="488" spans="1:10">
      <c r="A488" s="126"/>
      <c r="C488" s="368"/>
      <c r="D488" s="386"/>
      <c r="E488" s="971"/>
      <c r="F488" s="849"/>
      <c r="G488" s="785"/>
      <c r="H488" s="810"/>
      <c r="I488" s="47"/>
    </row>
    <row r="489" spans="1:10" ht="63.75">
      <c r="A489" s="126"/>
      <c r="C489" s="202" t="s">
        <v>981</v>
      </c>
      <c r="D489" s="235" t="s">
        <v>982</v>
      </c>
      <c r="E489" s="896"/>
      <c r="F489" s="849"/>
      <c r="G489" s="785"/>
      <c r="H489" s="810"/>
      <c r="I489" s="47"/>
    </row>
    <row r="490" spans="1:10">
      <c r="A490" s="126" t="s">
        <v>5</v>
      </c>
      <c r="B490" s="13">
        <v>7</v>
      </c>
      <c r="C490" s="368"/>
      <c r="D490" s="386" t="s">
        <v>983</v>
      </c>
      <c r="E490" s="971"/>
      <c r="F490" s="849" t="s">
        <v>46</v>
      </c>
      <c r="G490" s="785">
        <v>150</v>
      </c>
      <c r="H490" s="797"/>
      <c r="I490" s="728">
        <f t="shared" ref="I490" si="82">G490*H490</f>
        <v>0</v>
      </c>
    </row>
    <row r="491" spans="1:10">
      <c r="A491" s="126"/>
      <c r="C491" s="368"/>
      <c r="D491" s="386"/>
      <c r="E491" s="971"/>
      <c r="F491" s="849"/>
      <c r="G491" s="785"/>
      <c r="H491" s="810"/>
      <c r="I491" s="47"/>
    </row>
    <row r="492" spans="1:10">
      <c r="A492" s="126" t="str">
        <f t="shared" si="32"/>
        <v>A2</v>
      </c>
      <c r="B492" s="13">
        <v>12</v>
      </c>
      <c r="C492" s="131">
        <f>C467</f>
        <v>14</v>
      </c>
      <c r="D492" s="119" t="str">
        <f>D467</f>
        <v>BRAVARSKI RADOVI</v>
      </c>
      <c r="E492" s="869"/>
      <c r="F492" s="984"/>
      <c r="G492" s="798"/>
      <c r="H492" s="799"/>
      <c r="I492" s="153">
        <f>SUM(I474:I490)</f>
        <v>0</v>
      </c>
    </row>
    <row r="493" spans="1:10">
      <c r="A493" s="126"/>
      <c r="C493" s="155"/>
      <c r="D493" s="156"/>
      <c r="E493" s="887"/>
      <c r="F493" s="988"/>
      <c r="H493" s="797"/>
      <c r="I493" s="145"/>
    </row>
    <row r="494" spans="1:10">
      <c r="A494" s="126"/>
      <c r="C494" s="155"/>
      <c r="D494" s="156"/>
      <c r="E494" s="887"/>
      <c r="F494" s="988"/>
      <c r="H494" s="797"/>
      <c r="I494" s="145"/>
    </row>
    <row r="495" spans="1:10">
      <c r="A495" s="126" t="str">
        <f t="shared" si="32"/>
        <v>A2</v>
      </c>
      <c r="B495" s="13">
        <v>12</v>
      </c>
      <c r="C495" s="125">
        <v>15</v>
      </c>
      <c r="D495" s="120" t="s">
        <v>92</v>
      </c>
      <c r="E495" s="865"/>
      <c r="F495" s="986"/>
      <c r="G495" s="801"/>
      <c r="H495" s="796"/>
      <c r="I495" s="154"/>
      <c r="J495" s="15"/>
    </row>
    <row r="496" spans="1:10">
      <c r="A496" s="126" t="str">
        <f t="shared" si="32"/>
        <v>A2</v>
      </c>
      <c r="B496" s="13">
        <v>12</v>
      </c>
      <c r="C496" s="65"/>
      <c r="D496" s="66"/>
      <c r="E496" s="886"/>
      <c r="F496" s="848"/>
      <c r="H496" s="797"/>
      <c r="I496" s="144"/>
      <c r="J496" s="15"/>
    </row>
    <row r="497" spans="1:10" ht="102">
      <c r="A497" s="126" t="str">
        <f t="shared" si="32"/>
        <v>A2</v>
      </c>
      <c r="B497" s="13">
        <v>12</v>
      </c>
      <c r="C497" s="202" t="s">
        <v>882</v>
      </c>
      <c r="D497" s="239" t="s">
        <v>385</v>
      </c>
      <c r="E497" s="853"/>
      <c r="F497" s="192"/>
      <c r="G497" s="784"/>
      <c r="H497" s="809"/>
      <c r="I497" s="193"/>
      <c r="J497" s="15"/>
    </row>
    <row r="498" spans="1:10">
      <c r="A498" s="126" t="str">
        <f t="shared" si="32"/>
        <v>A2</v>
      </c>
      <c r="B498" s="13">
        <v>12</v>
      </c>
      <c r="C498" s="202"/>
      <c r="D498" s="239" t="s">
        <v>95</v>
      </c>
      <c r="E498" s="853"/>
      <c r="F498" s="192"/>
      <c r="G498" s="784"/>
      <c r="H498" s="809"/>
      <c r="I498" s="193"/>
    </row>
    <row r="499" spans="1:10">
      <c r="A499" s="126" t="str">
        <f t="shared" si="32"/>
        <v>A2</v>
      </c>
      <c r="B499" s="13">
        <v>12</v>
      </c>
      <c r="C499" s="202"/>
      <c r="D499" s="217"/>
      <c r="E499" s="902"/>
      <c r="F499" s="192"/>
      <c r="G499" s="784"/>
      <c r="H499" s="809"/>
      <c r="I499" s="193"/>
    </row>
    <row r="500" spans="1:10">
      <c r="A500" s="126" t="str">
        <f t="shared" si="32"/>
        <v>A2</v>
      </c>
      <c r="B500" s="13">
        <v>12</v>
      </c>
      <c r="C500" s="202"/>
      <c r="D500" s="239" t="s">
        <v>93</v>
      </c>
      <c r="E500" s="853"/>
      <c r="F500" s="192" t="s">
        <v>12</v>
      </c>
      <c r="G500" s="784">
        <v>490.81</v>
      </c>
      <c r="H500" s="809"/>
      <c r="I500" s="728">
        <f t="shared" ref="I500:I501" si="83">G500*H500</f>
        <v>0</v>
      </c>
    </row>
    <row r="501" spans="1:10">
      <c r="A501" s="126" t="str">
        <f t="shared" si="32"/>
        <v>A2</v>
      </c>
      <c r="B501" s="13">
        <v>12</v>
      </c>
      <c r="C501" s="202"/>
      <c r="D501" s="239" t="s">
        <v>94</v>
      </c>
      <c r="E501" s="853"/>
      <c r="F501" s="192" t="s">
        <v>12</v>
      </c>
      <c r="G501" s="784">
        <f>168.47+414.6+11.95</f>
        <v>595.0200000000001</v>
      </c>
      <c r="H501" s="809"/>
      <c r="I501" s="728">
        <f t="shared" si="83"/>
        <v>0</v>
      </c>
    </row>
    <row r="502" spans="1:10">
      <c r="A502" s="126"/>
      <c r="C502" s="202"/>
      <c r="D502" s="239"/>
      <c r="E502" s="853"/>
      <c r="F502" s="192"/>
      <c r="G502" s="784"/>
      <c r="H502" s="809"/>
      <c r="I502" s="193"/>
    </row>
    <row r="503" spans="1:10" ht="38.25">
      <c r="A503" s="126" t="str">
        <f t="shared" si="32"/>
        <v>A2</v>
      </c>
      <c r="B503" s="13">
        <v>12</v>
      </c>
      <c r="C503" s="202" t="s">
        <v>883</v>
      </c>
      <c r="D503" s="239" t="s">
        <v>798</v>
      </c>
      <c r="E503" s="853"/>
      <c r="F503" s="848" t="s">
        <v>514</v>
      </c>
      <c r="G503" s="397">
        <f>33.25+2.67*16</f>
        <v>75.97</v>
      </c>
      <c r="I503" s="728">
        <f t="shared" ref="I503" si="84">G503*H503</f>
        <v>0</v>
      </c>
    </row>
    <row r="504" spans="1:10">
      <c r="A504" s="126"/>
      <c r="C504" s="202"/>
      <c r="D504" s="239"/>
      <c r="E504" s="853"/>
      <c r="F504" s="848"/>
      <c r="H504" s="797"/>
      <c r="I504" s="193"/>
    </row>
    <row r="505" spans="1:10">
      <c r="A505" s="126"/>
      <c r="C505" s="202"/>
      <c r="D505" s="239"/>
      <c r="E505" s="853"/>
      <c r="F505" s="848"/>
      <c r="H505" s="797"/>
      <c r="I505" s="144"/>
    </row>
    <row r="506" spans="1:10">
      <c r="A506" s="126" t="str">
        <f t="shared" si="32"/>
        <v>A2</v>
      </c>
      <c r="B506" s="13">
        <v>12</v>
      </c>
      <c r="C506" s="131">
        <f>C495</f>
        <v>15</v>
      </c>
      <c r="D506" s="119" t="str">
        <f>D495</f>
        <v>SOBOSLIKARSKI RADOVI</v>
      </c>
      <c r="E506" s="869"/>
      <c r="F506" s="984"/>
      <c r="G506" s="798"/>
      <c r="H506" s="799"/>
      <c r="I506" s="153">
        <f>SUM(I500:I504)</f>
        <v>0</v>
      </c>
    </row>
    <row r="507" spans="1:10">
      <c r="A507" s="126"/>
      <c r="C507" s="155"/>
      <c r="D507" s="156"/>
      <c r="E507" s="887"/>
      <c r="F507" s="988"/>
      <c r="H507" s="797"/>
      <c r="I507" s="145"/>
    </row>
    <row r="508" spans="1:10" s="49" customFormat="1">
      <c r="A508" s="126" t="str">
        <f t="shared" si="32"/>
        <v>A2</v>
      </c>
      <c r="B508" s="13"/>
      <c r="C508" s="132"/>
      <c r="D508" s="44"/>
      <c r="E508" s="871"/>
      <c r="F508" s="848"/>
      <c r="G508" s="352"/>
      <c r="H508" s="797"/>
      <c r="I508" s="144"/>
      <c r="J508" s="48"/>
    </row>
    <row r="509" spans="1:10">
      <c r="A509" s="126" t="str">
        <f t="shared" si="32"/>
        <v>A2</v>
      </c>
      <c r="B509" s="13">
        <v>13</v>
      </c>
      <c r="C509" s="125">
        <v>16</v>
      </c>
      <c r="D509" s="120" t="s">
        <v>20</v>
      </c>
      <c r="E509" s="865"/>
      <c r="F509" s="986"/>
      <c r="G509" s="801"/>
      <c r="H509" s="796"/>
      <c r="I509" s="154"/>
    </row>
    <row r="510" spans="1:10">
      <c r="A510" s="126" t="str">
        <f t="shared" si="32"/>
        <v>A2</v>
      </c>
      <c r="B510" s="13">
        <v>13</v>
      </c>
      <c r="C510" s="132"/>
      <c r="D510" s="44"/>
      <c r="E510" s="871"/>
      <c r="F510" s="991"/>
      <c r="G510" s="223"/>
      <c r="H510" s="797"/>
      <c r="I510" s="144"/>
    </row>
    <row r="511" spans="1:10" ht="25.5">
      <c r="A511" s="126"/>
      <c r="C511" s="361" t="s">
        <v>898</v>
      </c>
      <c r="D511" s="220" t="s">
        <v>999</v>
      </c>
      <c r="E511" s="903"/>
      <c r="F511" s="351"/>
      <c r="G511" s="819"/>
      <c r="I511" s="934"/>
    </row>
    <row r="512" spans="1:10">
      <c r="A512" s="126"/>
      <c r="C512" s="361"/>
      <c r="D512" s="62" t="s">
        <v>98</v>
      </c>
      <c r="E512" s="904"/>
      <c r="F512" s="395" t="s">
        <v>974</v>
      </c>
      <c r="G512" s="396">
        <v>1</v>
      </c>
      <c r="I512" s="728">
        <f t="shared" ref="I512" si="85">G512*H512</f>
        <v>0</v>
      </c>
    </row>
    <row r="513" spans="1:10">
      <c r="A513" s="126"/>
      <c r="C513" s="132"/>
      <c r="D513" s="44"/>
      <c r="E513" s="871"/>
      <c r="F513" s="991"/>
      <c r="G513" s="223"/>
      <c r="H513" s="797"/>
      <c r="I513" s="144"/>
    </row>
    <row r="514" spans="1:10" ht="76.5">
      <c r="A514" s="126" t="str">
        <f t="shared" si="32"/>
        <v>A2</v>
      </c>
      <c r="B514" s="13">
        <v>13</v>
      </c>
      <c r="C514" s="361" t="s">
        <v>899</v>
      </c>
      <c r="D514" s="220" t="s">
        <v>49</v>
      </c>
      <c r="E514" s="903"/>
      <c r="F514" s="395"/>
      <c r="G514" s="223"/>
      <c r="H514" s="797"/>
      <c r="I514" s="144"/>
    </row>
    <row r="515" spans="1:10">
      <c r="A515" s="126" t="str">
        <f t="shared" si="32"/>
        <v>A2</v>
      </c>
      <c r="B515" s="13">
        <v>13</v>
      </c>
      <c r="C515" s="191"/>
      <c r="D515" s="62" t="s">
        <v>98</v>
      </c>
      <c r="E515" s="904"/>
      <c r="F515" s="395" t="s">
        <v>21</v>
      </c>
      <c r="G515" s="223">
        <v>1</v>
      </c>
      <c r="H515" s="797"/>
      <c r="I515" s="212">
        <f>G515*H515</f>
        <v>0</v>
      </c>
    </row>
    <row r="516" spans="1:10">
      <c r="A516" s="126" t="str">
        <f t="shared" si="32"/>
        <v>A2</v>
      </c>
      <c r="B516" s="13">
        <v>13</v>
      </c>
      <c r="C516" s="191"/>
      <c r="D516" s="62"/>
      <c r="E516" s="904"/>
      <c r="F516" s="395"/>
      <c r="G516" s="223"/>
      <c r="H516" s="797"/>
      <c r="I516" s="144"/>
    </row>
    <row r="517" spans="1:10" ht="63.75">
      <c r="A517" s="126" t="str">
        <f t="shared" si="32"/>
        <v>A2</v>
      </c>
      <c r="B517" s="13">
        <v>13</v>
      </c>
      <c r="C517" s="173" t="s">
        <v>973</v>
      </c>
      <c r="D517" s="220" t="s">
        <v>97</v>
      </c>
      <c r="E517" s="903"/>
      <c r="F517" s="351"/>
      <c r="G517" s="819"/>
      <c r="I517" s="934"/>
    </row>
    <row r="518" spans="1:10">
      <c r="A518" s="126" t="str">
        <f t="shared" si="32"/>
        <v>A2</v>
      </c>
      <c r="B518" s="13">
        <v>13</v>
      </c>
      <c r="C518" s="191"/>
      <c r="D518" s="62" t="s">
        <v>99</v>
      </c>
      <c r="E518" s="904"/>
      <c r="F518" s="194" t="s">
        <v>12</v>
      </c>
      <c r="G518" s="812">
        <v>173.08</v>
      </c>
      <c r="H518" s="803"/>
      <c r="I518" s="728">
        <f t="shared" ref="I518" si="86">G518*H518</f>
        <v>0</v>
      </c>
    </row>
    <row r="519" spans="1:10">
      <c r="A519" s="126" t="str">
        <f t="shared" si="32"/>
        <v>A2</v>
      </c>
      <c r="B519" s="13">
        <v>13</v>
      </c>
      <c r="C519" s="132"/>
      <c r="D519" s="62"/>
      <c r="E519" s="904"/>
      <c r="F519" s="395"/>
      <c r="G519" s="223"/>
      <c r="H519" s="797"/>
      <c r="I519" s="144"/>
    </row>
    <row r="520" spans="1:10">
      <c r="A520" s="126" t="str">
        <f t="shared" si="32"/>
        <v>A2</v>
      </c>
      <c r="B520" s="13">
        <v>13</v>
      </c>
      <c r="C520" s="131">
        <f>C509</f>
        <v>16</v>
      </c>
      <c r="D520" s="119" t="str">
        <f>D509</f>
        <v>OSTALO</v>
      </c>
      <c r="E520" s="869"/>
      <c r="F520" s="984" t="s">
        <v>2</v>
      </c>
      <c r="G520" s="798"/>
      <c r="H520" s="799"/>
      <c r="I520" s="153">
        <f>SUM(I512:I518)</f>
        <v>0</v>
      </c>
    </row>
    <row r="521" spans="1:10">
      <c r="A521" s="126" t="str">
        <f t="shared" si="32"/>
        <v>A2</v>
      </c>
      <c r="C521" s="65"/>
      <c r="D521" s="66"/>
      <c r="E521" s="886"/>
      <c r="F521" s="848"/>
      <c r="H521" s="797"/>
      <c r="I521" s="144"/>
    </row>
    <row r="522" spans="1:10" s="83" customFormat="1" ht="19.5" thickBot="1">
      <c r="A522" s="124" t="str">
        <f t="shared" si="32"/>
        <v>A2</v>
      </c>
      <c r="B522" s="81"/>
      <c r="C522" s="387"/>
      <c r="D522" s="388" t="s">
        <v>14</v>
      </c>
      <c r="E522" s="972"/>
      <c r="F522" s="992"/>
      <c r="G522" s="813"/>
      <c r="H522" s="814"/>
      <c r="I522" s="139"/>
      <c r="J522" s="140"/>
    </row>
    <row r="523" spans="1:10" s="83" customFormat="1" ht="15.75">
      <c r="A523" s="124" t="str">
        <f t="shared" si="32"/>
        <v>A2</v>
      </c>
      <c r="B523" s="81"/>
      <c r="C523" s="389"/>
      <c r="D523" s="390"/>
      <c r="E523" s="973"/>
      <c r="F523" s="987"/>
      <c r="G523" s="815"/>
      <c r="H523" s="797"/>
      <c r="I523" s="144"/>
      <c r="J523" s="140"/>
    </row>
    <row r="524" spans="1:10" s="83" customFormat="1">
      <c r="A524" s="124" t="str">
        <f t="shared" si="32"/>
        <v>A2</v>
      </c>
      <c r="B524" s="81"/>
      <c r="C524" s="155">
        <f>C13</f>
        <v>1</v>
      </c>
      <c r="D524" s="156" t="str">
        <f>D13</f>
        <v>DEMONTAŽE, RUŠENJA I PRIPREMNI RADOVI</v>
      </c>
      <c r="E524" s="887"/>
      <c r="F524" s="990"/>
      <c r="G524" s="815"/>
      <c r="H524" s="789"/>
      <c r="I524" s="145">
        <f>I87</f>
        <v>0</v>
      </c>
      <c r="J524" s="140"/>
    </row>
    <row r="525" spans="1:10" s="83" customFormat="1">
      <c r="A525" s="124" t="str">
        <f t="shared" si="32"/>
        <v>A2</v>
      </c>
      <c r="B525" s="81"/>
      <c r="C525" s="155">
        <f>C90</f>
        <v>2</v>
      </c>
      <c r="D525" s="156" t="str">
        <f>D90</f>
        <v>ZEMLJANI RADOVI</v>
      </c>
      <c r="E525" s="887"/>
      <c r="F525" s="990"/>
      <c r="G525" s="815"/>
      <c r="H525" s="789"/>
      <c r="I525" s="145">
        <f>I125</f>
        <v>0</v>
      </c>
      <c r="J525" s="140"/>
    </row>
    <row r="526" spans="1:10" s="83" customFormat="1">
      <c r="A526" s="124" t="str">
        <f t="shared" si="32"/>
        <v>A2</v>
      </c>
      <c r="B526" s="81"/>
      <c r="C526" s="155">
        <f>C128</f>
        <v>3</v>
      </c>
      <c r="D526" s="156" t="str">
        <f>D128</f>
        <v>BETONSKI I ARMIRANOBETONSKI RADOVI</v>
      </c>
      <c r="E526" s="887"/>
      <c r="F526" s="990"/>
      <c r="G526" s="815"/>
      <c r="H526" s="789"/>
      <c r="I526" s="145">
        <f>I163</f>
        <v>0</v>
      </c>
      <c r="J526" s="140"/>
    </row>
    <row r="527" spans="1:10" s="83" customFormat="1">
      <c r="A527" s="124" t="str">
        <f t="shared" si="32"/>
        <v>A2</v>
      </c>
      <c r="B527" s="81"/>
      <c r="C527" s="155">
        <f>C166</f>
        <v>4</v>
      </c>
      <c r="D527" s="156" t="str">
        <f>D166</f>
        <v>ZIDARSKI RADOVI</v>
      </c>
      <c r="E527" s="887"/>
      <c r="F527" s="990"/>
      <c r="G527" s="815"/>
      <c r="H527" s="789"/>
      <c r="I527" s="145">
        <f>I210</f>
        <v>0</v>
      </c>
      <c r="J527" s="140"/>
    </row>
    <row r="528" spans="1:10" s="83" customFormat="1">
      <c r="A528" s="124" t="str">
        <f t="shared" si="32"/>
        <v>A2</v>
      </c>
      <c r="B528" s="81"/>
      <c r="C528" s="155">
        <f>C213</f>
        <v>5</v>
      </c>
      <c r="D528" s="391" t="str">
        <f>D213</f>
        <v>IZOLATERSKI RADOVI</v>
      </c>
      <c r="E528" s="974"/>
      <c r="F528" s="990"/>
      <c r="G528" s="815"/>
      <c r="H528" s="789"/>
      <c r="I528" s="145">
        <f>I239</f>
        <v>0</v>
      </c>
      <c r="J528" s="140"/>
    </row>
    <row r="529" spans="1:10" s="83" customFormat="1">
      <c r="A529" s="124" t="str">
        <f t="shared" si="32"/>
        <v>A2</v>
      </c>
      <c r="B529" s="81"/>
      <c r="C529" s="155">
        <f>C242</f>
        <v>6</v>
      </c>
      <c r="D529" s="392" t="str">
        <f>D242</f>
        <v>FASADERSKI RADOVI</v>
      </c>
      <c r="E529" s="975"/>
      <c r="F529" s="990"/>
      <c r="G529" s="815"/>
      <c r="H529" s="789"/>
      <c r="I529" s="145">
        <f>I258</f>
        <v>0</v>
      </c>
      <c r="J529" s="140"/>
    </row>
    <row r="530" spans="1:10" s="83" customFormat="1">
      <c r="A530" s="124" t="str">
        <f t="shared" si="32"/>
        <v>A2</v>
      </c>
      <c r="B530" s="81"/>
      <c r="C530" s="155">
        <f>C272</f>
        <v>7</v>
      </c>
      <c r="D530" s="392" t="str">
        <f>D272</f>
        <v>KROVOPOKRIVAČKI RADOVI</v>
      </c>
      <c r="E530" s="975"/>
      <c r="F530" s="990"/>
      <c r="G530" s="815"/>
      <c r="H530" s="789"/>
      <c r="I530" s="145">
        <f>I272</f>
        <v>0</v>
      </c>
      <c r="J530" s="140"/>
    </row>
    <row r="531" spans="1:10" s="83" customFormat="1">
      <c r="A531" s="124" t="str">
        <f t="shared" si="32"/>
        <v>A2</v>
      </c>
      <c r="B531" s="81"/>
      <c r="C531" s="155">
        <v>8</v>
      </c>
      <c r="D531" s="391" t="s">
        <v>387</v>
      </c>
      <c r="E531" s="974"/>
      <c r="F531" s="990"/>
      <c r="G531" s="815"/>
      <c r="H531" s="789"/>
      <c r="I531" s="145">
        <f>I310</f>
        <v>0</v>
      </c>
      <c r="J531" s="140"/>
    </row>
    <row r="532" spans="1:10" s="83" customFormat="1">
      <c r="A532" s="124" t="str">
        <f t="shared" si="32"/>
        <v>A2</v>
      </c>
      <c r="B532" s="81"/>
      <c r="C532" s="155">
        <f>C313</f>
        <v>9</v>
      </c>
      <c r="D532" s="391" t="str">
        <f>D313</f>
        <v>STOLARSKI RADOVI</v>
      </c>
      <c r="E532" s="974"/>
      <c r="F532" s="990"/>
      <c r="G532" s="815"/>
      <c r="H532" s="789"/>
      <c r="I532" s="145">
        <f>I383</f>
        <v>0</v>
      </c>
      <c r="J532" s="140"/>
    </row>
    <row r="533" spans="1:10" s="83" customFormat="1">
      <c r="A533" s="124" t="str">
        <f t="shared" si="32"/>
        <v>A2</v>
      </c>
      <c r="B533" s="81"/>
      <c r="C533" s="155">
        <f>C403</f>
        <v>10</v>
      </c>
      <c r="D533" s="391" t="str">
        <f>D403</f>
        <v>KAMENARSKI RADOVI</v>
      </c>
      <c r="E533" s="974"/>
      <c r="F533" s="990"/>
      <c r="G533" s="815"/>
      <c r="H533" s="789"/>
      <c r="I533" s="145">
        <f>I403</f>
        <v>0</v>
      </c>
      <c r="J533" s="140"/>
    </row>
    <row r="534" spans="1:10" s="83" customFormat="1">
      <c r="A534" s="124" t="str">
        <f t="shared" si="32"/>
        <v>A2</v>
      </c>
      <c r="B534" s="81"/>
      <c r="C534" s="155">
        <f>C406</f>
        <v>11</v>
      </c>
      <c r="D534" s="391" t="str">
        <f>D406</f>
        <v>KERAMIČARSKI RADOVI</v>
      </c>
      <c r="E534" s="974"/>
      <c r="F534" s="990"/>
      <c r="G534" s="815"/>
      <c r="H534" s="789"/>
      <c r="I534" s="145">
        <f>I438</f>
        <v>0</v>
      </c>
      <c r="J534" s="140"/>
    </row>
    <row r="535" spans="1:10" s="83" customFormat="1">
      <c r="A535" s="124" t="str">
        <f t="shared" si="32"/>
        <v>A2</v>
      </c>
      <c r="B535" s="81"/>
      <c r="C535" s="155">
        <v>12</v>
      </c>
      <c r="D535" s="393" t="s">
        <v>760</v>
      </c>
      <c r="E535" s="976"/>
      <c r="F535" s="990"/>
      <c r="G535" s="815"/>
      <c r="H535" s="789"/>
      <c r="I535" s="145">
        <f>I448</f>
        <v>0</v>
      </c>
      <c r="J535" s="140"/>
    </row>
    <row r="536" spans="1:10" s="83" customFormat="1">
      <c r="A536" s="124" t="str">
        <f t="shared" si="32"/>
        <v>A2</v>
      </c>
      <c r="B536" s="81"/>
      <c r="C536" s="155">
        <f>C450</f>
        <v>13</v>
      </c>
      <c r="D536" s="394" t="str">
        <f>D450</f>
        <v>LIMARSKI I STOLARSKI RADOVI - ODVODNJA OBORINSKIH VODA</v>
      </c>
      <c r="E536" s="977"/>
      <c r="F536" s="990"/>
      <c r="G536" s="815"/>
      <c r="H536" s="789"/>
      <c r="I536" s="145">
        <f>I464</f>
        <v>0</v>
      </c>
      <c r="J536" s="140"/>
    </row>
    <row r="537" spans="1:10" s="83" customFormat="1">
      <c r="A537" s="124" t="str">
        <f t="shared" si="32"/>
        <v>A2</v>
      </c>
      <c r="B537" s="81"/>
      <c r="C537" s="155">
        <f>C492</f>
        <v>14</v>
      </c>
      <c r="D537" s="391" t="str">
        <f>D492</f>
        <v>BRAVARSKI RADOVI</v>
      </c>
      <c r="E537" s="974"/>
      <c r="F537" s="990"/>
      <c r="G537" s="815"/>
      <c r="H537" s="789"/>
      <c r="I537" s="145">
        <f>I492</f>
        <v>0</v>
      </c>
      <c r="J537" s="140"/>
    </row>
    <row r="538" spans="1:10" s="83" customFormat="1">
      <c r="A538" s="124" t="str">
        <f t="shared" si="32"/>
        <v>A2</v>
      </c>
      <c r="B538" s="81"/>
      <c r="C538" s="155">
        <f>C495</f>
        <v>15</v>
      </c>
      <c r="D538" s="394" t="str">
        <f>D495</f>
        <v>SOBOSLIKARSKI RADOVI</v>
      </c>
      <c r="E538" s="977"/>
      <c r="F538" s="990"/>
      <c r="G538" s="815"/>
      <c r="H538" s="789"/>
      <c r="I538" s="145">
        <f>I506</f>
        <v>0</v>
      </c>
      <c r="J538" s="140"/>
    </row>
    <row r="539" spans="1:10" s="83" customFormat="1">
      <c r="A539" s="124" t="str">
        <f t="shared" si="32"/>
        <v>A2</v>
      </c>
      <c r="B539" s="81"/>
      <c r="C539" s="155">
        <f>C520</f>
        <v>16</v>
      </c>
      <c r="D539" s="156" t="str">
        <f>D520</f>
        <v>OSTALO</v>
      </c>
      <c r="E539" s="887"/>
      <c r="F539" s="990"/>
      <c r="G539" s="815"/>
      <c r="H539" s="789"/>
      <c r="I539" s="145">
        <f>I520</f>
        <v>0</v>
      </c>
      <c r="J539" s="140"/>
    </row>
    <row r="540" spans="1:10" s="83" customFormat="1">
      <c r="A540" s="124"/>
      <c r="B540" s="81"/>
      <c r="C540" s="389"/>
      <c r="D540" s="369"/>
      <c r="E540" s="978"/>
      <c r="F540" s="990"/>
      <c r="G540" s="804"/>
      <c r="H540" s="789"/>
      <c r="I540" s="145"/>
      <c r="J540" s="140"/>
    </row>
    <row r="541" spans="1:10" s="83" customFormat="1" ht="15.75">
      <c r="A541" s="124"/>
      <c r="B541" s="81"/>
      <c r="C541" s="127" t="str">
        <f>C11</f>
        <v>A2</v>
      </c>
      <c r="D541" s="114" t="str">
        <f>D11</f>
        <v>GRAĐEVINSKO OBRTNIČKI RADOVI - ZGRADA 2</v>
      </c>
      <c r="E541" s="911"/>
      <c r="F541" s="135" t="s">
        <v>2</v>
      </c>
      <c r="G541" s="816"/>
      <c r="H541" s="817"/>
      <c r="I541" s="938">
        <f>SUM(I524:I540)</f>
        <v>0</v>
      </c>
      <c r="J541" s="140"/>
    </row>
    <row r="542" spans="1:10">
      <c r="A542" s="126"/>
      <c r="C542" s="136"/>
      <c r="D542" s="137"/>
      <c r="E542" s="137"/>
      <c r="F542" s="134"/>
      <c r="G542" s="795"/>
      <c r="H542" s="796"/>
      <c r="I542" s="154"/>
      <c r="J542" s="15"/>
    </row>
  </sheetData>
  <sheetProtection password="CB29" sheet="1" formatCells="0" formatColumns="0" formatRows="0" insertColumns="0" insertRows="0" insertHyperlinks="0" deleteColumns="0" deleteRows="0" sort="0" autoFilter="0" pivotTables="0"/>
  <protectedRanges>
    <protectedRange sqref="G180:G182" name="Range1_2"/>
    <protectedRange sqref="H369:H371" name="Range1_3"/>
    <protectedRange sqref="H418:H419 H421:H422" name="Range1_1_1"/>
    <protectedRange sqref="H497:H502 H487 H469:H474" name="Range1_5"/>
    <protectedRange sqref="H423:H425 H435" name="Range1_1_1_1"/>
    <protectedRange sqref="H456 H462" name="Range1_1_1_2"/>
    <protectedRange sqref="M424:M455" name="Range1_1_1_4"/>
  </protectedRanges>
  <mergeCells count="6">
    <mergeCell ref="D16:I16"/>
    <mergeCell ref="F1:G1"/>
    <mergeCell ref="F2:G2"/>
    <mergeCell ref="F3:G3"/>
    <mergeCell ref="F5:G5"/>
    <mergeCell ref="D15:F15"/>
  </mergeCells>
  <conditionalFormatting sqref="I371 I369">
    <cfRule type="cellIs" dxfId="12" priority="17" stopIfTrue="1" operator="equal">
      <formula>0</formula>
    </cfRule>
  </conditionalFormatting>
  <conditionalFormatting sqref="H381 H369:H371 H328 H330 H332 H334 H336 H338 H340 H342 H344 H346 H284:H309">
    <cfRule type="cellIs" dxfId="11" priority="16" stopIfTrue="1" operator="equal">
      <formula>0</formula>
    </cfRule>
  </conditionalFormatting>
  <conditionalFormatting sqref="I1:I1048576">
    <cfRule type="cellIs" dxfId="10" priority="1" operator="equal">
      <formula>0</formula>
    </cfRule>
  </conditionalFormatting>
  <pageMargins left="0.7" right="0.7" top="0.75" bottom="0.75" header="0.3" footer="0.3"/>
  <pageSetup paperSize="9" scale="68" orientation="portrait" r:id="rId1"/>
  <rowBreaks count="17" manualBreakCount="17">
    <brk id="55" min="2" max="7" man="1"/>
    <brk id="89" min="2" max="7" man="1"/>
    <brk id="125" min="2" max="7" man="1"/>
    <brk id="165" min="2" max="7" man="1"/>
    <brk id="211" min="2" max="7" man="1"/>
    <brk id="259" min="2" max="7" man="1"/>
    <brk id="273" min="2" max="7" man="1"/>
    <brk id="295" min="2" max="7" man="1"/>
    <brk id="310" min="2" max="7" man="1"/>
    <brk id="355" min="2" max="7" man="1"/>
    <brk id="383" min="2" max="7" man="1"/>
    <brk id="405" min="2" max="7" man="1"/>
    <brk id="439" min="2" max="7" man="1"/>
    <brk id="449" min="2" max="7" man="1"/>
    <brk id="466" min="2" max="7" man="1"/>
    <brk id="507" min="2" max="7" man="1"/>
    <brk id="520" min="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9"/>
  <sheetViews>
    <sheetView topLeftCell="I1" zoomScale="80" zoomScaleNormal="80" workbookViewId="0">
      <pane xSplit="14850" ySplit="1440" topLeftCell="A33" activePane="bottomLeft"/>
      <selection activeCell="BT5" sqref="BT5"/>
      <selection pane="topRight" activeCell="E1" sqref="E1"/>
      <selection pane="bottomLeft" activeCell="R41" sqref="R41"/>
      <selection pane="bottomRight" activeCell="BW31" sqref="BW31"/>
    </sheetView>
  </sheetViews>
  <sheetFormatPr defaultRowHeight="12.75"/>
  <cols>
    <col min="1" max="1" width="9.85546875" bestFit="1" customWidth="1"/>
    <col min="2" max="2" width="10.5703125" style="170" customWidth="1"/>
    <col min="3" max="3" width="20.42578125" customWidth="1"/>
    <col min="4" max="4" width="14.7109375" customWidth="1"/>
    <col min="5" max="6" width="8.85546875" customWidth="1"/>
    <col min="7" max="8" width="4.85546875" customWidth="1"/>
    <col min="9" max="20" width="9.140625" customWidth="1"/>
    <col min="21" max="21" width="27.7109375" customWidth="1"/>
    <col min="22" max="23" width="10" customWidth="1"/>
    <col min="24" max="24" width="13.42578125" customWidth="1"/>
    <col min="25" max="25" width="32.140625" customWidth="1"/>
    <col min="26" max="30" width="9.140625" customWidth="1"/>
    <col min="31" max="31" width="10.28515625" style="328" customWidth="1"/>
    <col min="32" max="43" width="9.140625" customWidth="1"/>
    <col min="44" max="44" width="12.28515625" customWidth="1"/>
    <col min="45" max="45" width="9.140625" customWidth="1"/>
    <col min="46" max="48" width="10.28515625" customWidth="1"/>
    <col min="57" max="59" width="9.140625" customWidth="1"/>
    <col min="60" max="60" width="10.7109375" customWidth="1"/>
    <col min="64" max="68" width="10.5703125" customWidth="1"/>
    <col min="69" max="69" width="25.7109375" bestFit="1" customWidth="1"/>
    <col min="70" max="72" width="10.28515625" customWidth="1"/>
    <col min="75" max="77" width="10.5703125" customWidth="1"/>
  </cols>
  <sheetData>
    <row r="1" spans="1:83">
      <c r="A1" s="1269" t="s">
        <v>496</v>
      </c>
      <c r="B1" s="1271" t="s">
        <v>497</v>
      </c>
      <c r="C1" s="1271" t="s">
        <v>498</v>
      </c>
      <c r="D1" s="1273" t="s">
        <v>499</v>
      </c>
      <c r="E1" s="1275" t="s">
        <v>500</v>
      </c>
      <c r="F1" s="1265" t="s">
        <v>501</v>
      </c>
      <c r="G1" s="257"/>
      <c r="H1" s="258"/>
      <c r="I1" s="1277" t="s">
        <v>502</v>
      </c>
      <c r="J1" s="1277"/>
      <c r="K1" s="1277"/>
      <c r="L1" s="1277"/>
      <c r="M1" s="1277"/>
      <c r="N1" s="1277"/>
      <c r="O1" s="1277"/>
      <c r="P1" s="1277"/>
      <c r="Q1" s="1277"/>
      <c r="R1" s="1277"/>
      <c r="S1" s="1277"/>
      <c r="T1" s="1277"/>
      <c r="U1" s="1277"/>
      <c r="V1" s="1277"/>
      <c r="W1" s="1277"/>
      <c r="X1" s="1277"/>
      <c r="Y1" s="1277"/>
      <c r="Z1" s="1277"/>
      <c r="AA1" s="1277"/>
      <c r="AB1" s="1277"/>
      <c r="AC1" s="1277"/>
      <c r="AD1" s="1277"/>
      <c r="AE1" s="1278" t="s">
        <v>500</v>
      </c>
      <c r="AF1" s="1271" t="s">
        <v>501</v>
      </c>
      <c r="AG1" s="259"/>
      <c r="AH1" s="260"/>
      <c r="AI1" s="1267" t="s">
        <v>503</v>
      </c>
      <c r="AJ1" s="1267"/>
      <c r="AK1" s="1267"/>
      <c r="AL1" s="1267"/>
      <c r="AM1" s="1267"/>
      <c r="AN1" s="1267"/>
      <c r="AO1" s="1267"/>
      <c r="AP1" s="1267"/>
      <c r="AQ1" s="1267"/>
      <c r="AR1" s="1267"/>
      <c r="AS1" s="1267"/>
      <c r="AT1" s="1267"/>
      <c r="AU1" s="1267"/>
      <c r="AV1" s="1267"/>
      <c r="AW1" s="1267"/>
      <c r="AX1" s="1267"/>
      <c r="AY1" s="1267"/>
      <c r="AZ1" s="1267"/>
      <c r="BA1" s="1267"/>
      <c r="BB1" s="1267"/>
      <c r="BC1" s="1267"/>
      <c r="BD1" s="1267"/>
      <c r="BE1" s="1267"/>
      <c r="BF1" s="1267"/>
      <c r="BG1" s="1267"/>
      <c r="BH1" s="1267"/>
      <c r="BI1" s="1267"/>
      <c r="BJ1" s="1267"/>
      <c r="BK1" s="1267"/>
      <c r="BL1" s="1267"/>
      <c r="BM1" s="1267"/>
      <c r="BN1" s="1267"/>
      <c r="BO1" s="1267"/>
      <c r="BP1" s="1267"/>
      <c r="BQ1" s="1267"/>
      <c r="BR1" s="1267"/>
      <c r="BS1" s="1267"/>
      <c r="BT1" s="1267"/>
      <c r="BU1" s="1267"/>
      <c r="BV1" s="1267"/>
      <c r="BW1" s="1267"/>
      <c r="BX1" s="1267"/>
      <c r="BY1" s="1267"/>
      <c r="BZ1" s="1267"/>
      <c r="CA1" s="1267"/>
      <c r="CB1" s="1267"/>
      <c r="CC1" s="1267"/>
      <c r="CD1" s="1267"/>
      <c r="CE1" s="1267"/>
    </row>
    <row r="2" spans="1:83" s="266" customFormat="1" ht="18.600000000000001" customHeight="1">
      <c r="A2" s="1270"/>
      <c r="B2" s="1272"/>
      <c r="C2" s="1272"/>
      <c r="D2" s="1274"/>
      <c r="E2" s="1276"/>
      <c r="F2" s="1266"/>
      <c r="G2" s="261" t="s">
        <v>504</v>
      </c>
      <c r="H2" s="261" t="s">
        <v>505</v>
      </c>
      <c r="I2" s="261"/>
      <c r="J2" s="261"/>
      <c r="K2" s="261"/>
      <c r="L2" s="261"/>
      <c r="M2" s="332"/>
      <c r="N2" s="261"/>
      <c r="O2" s="261"/>
      <c r="P2" s="261"/>
      <c r="Q2" s="332"/>
      <c r="R2" s="261"/>
      <c r="S2" s="261"/>
      <c r="T2" s="261"/>
      <c r="U2" s="261"/>
      <c r="V2" s="261"/>
      <c r="W2" s="332"/>
      <c r="X2" s="261"/>
      <c r="Y2" s="261"/>
      <c r="Z2" s="261"/>
      <c r="AA2" s="261" t="s">
        <v>506</v>
      </c>
      <c r="AB2" s="261" t="s">
        <v>507</v>
      </c>
      <c r="AC2" s="261" t="s">
        <v>508</v>
      </c>
      <c r="AD2" s="261"/>
      <c r="AE2" s="1279"/>
      <c r="AF2" s="1272"/>
      <c r="AG2" s="262" t="s">
        <v>504</v>
      </c>
      <c r="AH2" s="262" t="s">
        <v>505</v>
      </c>
      <c r="AI2" s="1280" t="s">
        <v>509</v>
      </c>
      <c r="AJ2" s="1280"/>
      <c r="AK2" s="1280"/>
      <c r="AL2" s="1280"/>
      <c r="AM2" s="1280"/>
      <c r="AN2" s="1280"/>
      <c r="AO2" s="1280"/>
      <c r="AP2" s="1280"/>
      <c r="AQ2" s="1280"/>
      <c r="AR2" s="1280"/>
      <c r="AS2" s="1280"/>
      <c r="AT2" s="1280"/>
      <c r="AU2" s="263"/>
      <c r="AV2" s="263"/>
      <c r="AW2" s="263" t="s">
        <v>506</v>
      </c>
      <c r="AX2" s="263"/>
      <c r="AY2" s="263"/>
      <c r="AZ2" s="263"/>
      <c r="BA2" s="263"/>
      <c r="BB2" s="263"/>
      <c r="BC2" s="263"/>
      <c r="BD2" s="263"/>
      <c r="BE2" s="263"/>
      <c r="BF2" s="263"/>
      <c r="BG2" s="263"/>
      <c r="BH2" s="263"/>
      <c r="BI2" s="263"/>
      <c r="BJ2" s="263"/>
      <c r="BK2" s="263"/>
      <c r="BL2" s="263"/>
      <c r="BM2" s="263"/>
      <c r="BN2" s="263"/>
      <c r="BO2" s="263"/>
      <c r="BP2" s="263"/>
      <c r="BQ2" s="263"/>
      <c r="BR2" s="264" t="s">
        <v>510</v>
      </c>
      <c r="BS2" s="264"/>
      <c r="BT2" s="264"/>
      <c r="BU2" s="265" t="s">
        <v>511</v>
      </c>
      <c r="BV2" s="265"/>
      <c r="BW2" s="264" t="s">
        <v>512</v>
      </c>
      <c r="BX2" s="264"/>
      <c r="BY2" s="264"/>
      <c r="BZ2" s="1268" t="s">
        <v>531</v>
      </c>
      <c r="CA2" s="1268"/>
      <c r="CB2" s="1268"/>
      <c r="CC2" s="1268"/>
      <c r="CD2" s="1268"/>
      <c r="CE2" s="1268"/>
    </row>
    <row r="3" spans="1:83" s="266" customFormat="1" ht="33" customHeight="1">
      <c r="A3" s="267"/>
      <c r="B3" s="267"/>
      <c r="C3" s="267"/>
      <c r="D3" s="267"/>
      <c r="E3" s="268" t="s">
        <v>12</v>
      </c>
      <c r="F3" s="267" t="s">
        <v>513</v>
      </c>
      <c r="G3" s="267" t="s">
        <v>514</v>
      </c>
      <c r="H3" s="267" t="s">
        <v>514</v>
      </c>
      <c r="I3" s="268" t="s">
        <v>515</v>
      </c>
      <c r="J3" s="267" t="s">
        <v>516</v>
      </c>
      <c r="K3" s="267" t="s">
        <v>517</v>
      </c>
      <c r="L3" s="267" t="s">
        <v>518</v>
      </c>
      <c r="M3" s="267" t="s">
        <v>722</v>
      </c>
      <c r="N3" s="267" t="s">
        <v>519</v>
      </c>
      <c r="O3" s="267" t="s">
        <v>520</v>
      </c>
      <c r="P3" s="267" t="s">
        <v>521</v>
      </c>
      <c r="Q3" s="267" t="s">
        <v>723</v>
      </c>
      <c r="R3" s="267" t="s">
        <v>522</v>
      </c>
      <c r="S3" s="267" t="s">
        <v>523</v>
      </c>
      <c r="T3" s="267" t="s">
        <v>524</v>
      </c>
      <c r="U3" s="267" t="s">
        <v>525</v>
      </c>
      <c r="V3" s="267" t="s">
        <v>526</v>
      </c>
      <c r="W3" s="267" t="s">
        <v>726</v>
      </c>
      <c r="X3" s="267" t="s">
        <v>527</v>
      </c>
      <c r="Y3" s="267" t="s">
        <v>528</v>
      </c>
      <c r="Z3" s="267" t="s">
        <v>529</v>
      </c>
      <c r="AA3" s="267" t="s">
        <v>530</v>
      </c>
      <c r="AB3" s="267" t="s">
        <v>531</v>
      </c>
      <c r="AC3" s="267" t="s">
        <v>532</v>
      </c>
      <c r="AD3" s="267"/>
      <c r="AE3" s="269" t="s">
        <v>12</v>
      </c>
      <c r="AF3" s="267" t="s">
        <v>513</v>
      </c>
      <c r="AG3" s="267"/>
      <c r="AH3" s="267" t="s">
        <v>514</v>
      </c>
      <c r="AI3" s="268" t="s">
        <v>533</v>
      </c>
      <c r="AJ3" s="267" t="s">
        <v>534</v>
      </c>
      <c r="AK3" s="267" t="s">
        <v>535</v>
      </c>
      <c r="AL3" s="270" t="s">
        <v>536</v>
      </c>
      <c r="AM3" s="271" t="s">
        <v>537</v>
      </c>
      <c r="AN3" s="271" t="s">
        <v>538</v>
      </c>
      <c r="AO3" s="271" t="s">
        <v>539</v>
      </c>
      <c r="AP3" s="271" t="s">
        <v>540</v>
      </c>
      <c r="AQ3" s="271" t="s">
        <v>541</v>
      </c>
      <c r="AR3" s="271" t="s">
        <v>542</v>
      </c>
      <c r="AS3" s="271" t="s">
        <v>543</v>
      </c>
      <c r="AT3" s="272" t="s">
        <v>544</v>
      </c>
      <c r="AU3" s="267" t="s">
        <v>545</v>
      </c>
      <c r="AV3" s="267" t="s">
        <v>546</v>
      </c>
      <c r="AW3" s="267" t="s">
        <v>547</v>
      </c>
      <c r="AX3" s="267" t="s">
        <v>548</v>
      </c>
      <c r="AY3" s="267" t="s">
        <v>549</v>
      </c>
      <c r="AZ3" s="267" t="s">
        <v>550</v>
      </c>
      <c r="BA3" s="267" t="s">
        <v>551</v>
      </c>
      <c r="BB3" s="267" t="s">
        <v>678</v>
      </c>
      <c r="BC3" s="267" t="s">
        <v>552</v>
      </c>
      <c r="BD3" s="267" t="s">
        <v>741</v>
      </c>
      <c r="BE3" s="270" t="s">
        <v>553</v>
      </c>
      <c r="BF3" s="271" t="s">
        <v>554</v>
      </c>
      <c r="BG3" s="267" t="s">
        <v>711</v>
      </c>
      <c r="BH3" s="267" t="s">
        <v>666</v>
      </c>
      <c r="BI3" s="267" t="s">
        <v>555</v>
      </c>
      <c r="BJ3" s="267" t="s">
        <v>556</v>
      </c>
      <c r="BK3" s="267" t="s">
        <v>557</v>
      </c>
      <c r="BL3" s="267" t="s">
        <v>558</v>
      </c>
      <c r="BM3" s="267" t="s">
        <v>559</v>
      </c>
      <c r="BN3" s="267" t="s">
        <v>560</v>
      </c>
      <c r="BO3" s="267" t="s">
        <v>735</v>
      </c>
      <c r="BP3" s="267" t="s">
        <v>526</v>
      </c>
      <c r="BQ3" s="267" t="s">
        <v>525</v>
      </c>
      <c r="BR3" s="267" t="s">
        <v>561</v>
      </c>
      <c r="BS3" s="267" t="s">
        <v>562</v>
      </c>
      <c r="BT3" s="267" t="s">
        <v>670</v>
      </c>
      <c r="BU3" s="267" t="s">
        <v>672</v>
      </c>
      <c r="BV3" s="267" t="s">
        <v>673</v>
      </c>
      <c r="BW3" s="267" t="s">
        <v>674</v>
      </c>
      <c r="BX3" s="267" t="s">
        <v>675</v>
      </c>
      <c r="BY3" s="267" t="s">
        <v>676</v>
      </c>
      <c r="BZ3" s="267" t="s">
        <v>668</v>
      </c>
      <c r="CA3" s="267" t="s">
        <v>669</v>
      </c>
      <c r="CB3" s="267" t="s">
        <v>664</v>
      </c>
      <c r="CC3" s="267" t="s">
        <v>712</v>
      </c>
      <c r="CD3" s="267" t="s">
        <v>713</v>
      </c>
      <c r="CE3" s="267" t="s">
        <v>665</v>
      </c>
    </row>
    <row r="4" spans="1:83" s="266" customFormat="1" ht="12" thickBot="1">
      <c r="A4" s="273"/>
      <c r="B4" s="273"/>
      <c r="C4" s="273"/>
      <c r="D4" s="273"/>
      <c r="E4" s="274"/>
      <c r="F4" s="273"/>
      <c r="G4" s="273"/>
      <c r="H4" s="273"/>
      <c r="I4" s="274" t="s">
        <v>12</v>
      </c>
      <c r="J4" s="273" t="s">
        <v>12</v>
      </c>
      <c r="K4" s="273" t="s">
        <v>514</v>
      </c>
      <c r="L4" s="273" t="s">
        <v>12</v>
      </c>
      <c r="M4" s="273" t="s">
        <v>12</v>
      </c>
      <c r="N4" s="273" t="s">
        <v>12</v>
      </c>
      <c r="O4" s="273" t="s">
        <v>0</v>
      </c>
      <c r="P4" s="273" t="s">
        <v>12</v>
      </c>
      <c r="Q4" s="273" t="s">
        <v>12</v>
      </c>
      <c r="R4" s="273" t="s">
        <v>12</v>
      </c>
      <c r="S4" s="273" t="s">
        <v>12</v>
      </c>
      <c r="T4" s="273" t="s">
        <v>12</v>
      </c>
      <c r="U4" s="273" t="s">
        <v>11</v>
      </c>
      <c r="V4" s="273" t="s">
        <v>11</v>
      </c>
      <c r="W4" s="273" t="s">
        <v>11</v>
      </c>
      <c r="X4" s="273"/>
      <c r="Y4" s="273"/>
      <c r="Z4" s="273" t="s">
        <v>12</v>
      </c>
      <c r="AA4" s="273" t="s">
        <v>8</v>
      </c>
      <c r="AB4" s="273" t="s">
        <v>0</v>
      </c>
      <c r="AC4" s="273" t="s">
        <v>12</v>
      </c>
      <c r="AD4" s="273"/>
      <c r="AE4" s="275"/>
      <c r="AF4" s="273"/>
      <c r="AG4" s="273"/>
      <c r="AH4" s="273"/>
      <c r="AI4" s="274" t="s">
        <v>12</v>
      </c>
      <c r="AJ4" s="273" t="s">
        <v>12</v>
      </c>
      <c r="AK4" s="273" t="s">
        <v>12</v>
      </c>
      <c r="AL4" s="276" t="s">
        <v>12</v>
      </c>
      <c r="AM4" s="277" t="s">
        <v>12</v>
      </c>
      <c r="AN4" s="277" t="s">
        <v>8</v>
      </c>
      <c r="AO4" s="277" t="s">
        <v>12</v>
      </c>
      <c r="AP4" s="277" t="s">
        <v>8</v>
      </c>
      <c r="AQ4" s="277" t="s">
        <v>12</v>
      </c>
      <c r="AR4" s="277" t="s">
        <v>8</v>
      </c>
      <c r="AS4" s="277" t="s">
        <v>12</v>
      </c>
      <c r="AT4" s="278" t="s">
        <v>12</v>
      </c>
      <c r="AU4" s="273" t="s">
        <v>12</v>
      </c>
      <c r="AV4" s="273" t="s">
        <v>12</v>
      </c>
      <c r="AW4" s="273" t="s">
        <v>0</v>
      </c>
      <c r="AX4" s="273" t="s">
        <v>12</v>
      </c>
      <c r="AY4" s="273" t="s">
        <v>12</v>
      </c>
      <c r="AZ4" s="273" t="s">
        <v>12</v>
      </c>
      <c r="BA4" s="273" t="s">
        <v>12</v>
      </c>
      <c r="BB4" s="273" t="s">
        <v>12</v>
      </c>
      <c r="BC4" s="273" t="s">
        <v>12</v>
      </c>
      <c r="BD4" s="273" t="s">
        <v>12</v>
      </c>
      <c r="BE4" s="276" t="s">
        <v>12</v>
      </c>
      <c r="BF4" s="277" t="s">
        <v>12</v>
      </c>
      <c r="BG4" s="273"/>
      <c r="BH4" s="273"/>
      <c r="BI4" s="273" t="s">
        <v>12</v>
      </c>
      <c r="BJ4" s="273" t="s">
        <v>12</v>
      </c>
      <c r="BK4" s="273" t="s">
        <v>12</v>
      </c>
      <c r="BL4" s="273" t="s">
        <v>12</v>
      </c>
      <c r="BM4" s="273" t="s">
        <v>12</v>
      </c>
      <c r="BN4" s="273"/>
      <c r="BO4" s="273"/>
      <c r="BP4" s="273"/>
      <c r="BQ4" s="273"/>
      <c r="BR4" s="273" t="s">
        <v>12</v>
      </c>
      <c r="BS4" s="273" t="s">
        <v>12</v>
      </c>
      <c r="BT4" s="273"/>
      <c r="BU4" s="273" t="s">
        <v>12</v>
      </c>
      <c r="BV4" s="273" t="s">
        <v>12</v>
      </c>
      <c r="BW4" s="273" t="s">
        <v>12</v>
      </c>
      <c r="BX4" s="273" t="s">
        <v>12</v>
      </c>
      <c r="BY4" s="273" t="s">
        <v>12</v>
      </c>
      <c r="BZ4" s="273" t="s">
        <v>12</v>
      </c>
      <c r="CA4" s="273" t="s">
        <v>8</v>
      </c>
      <c r="CB4" s="273" t="s">
        <v>0</v>
      </c>
      <c r="CC4" s="273" t="s">
        <v>12</v>
      </c>
      <c r="CD4" s="273" t="s">
        <v>12</v>
      </c>
      <c r="CE4" s="273" t="s">
        <v>0</v>
      </c>
    </row>
    <row r="5" spans="1:83" s="281" customFormat="1" thickTop="1">
      <c r="A5" s="279" t="s">
        <v>563</v>
      </c>
      <c r="B5" s="280">
        <v>1</v>
      </c>
      <c r="C5" s="279" t="s">
        <v>564</v>
      </c>
      <c r="D5" s="281" t="s">
        <v>564</v>
      </c>
      <c r="E5" s="282">
        <v>85.28</v>
      </c>
      <c r="F5" s="283" t="s">
        <v>565</v>
      </c>
      <c r="G5" s="283">
        <v>2.69</v>
      </c>
      <c r="H5" s="281">
        <v>2.69</v>
      </c>
      <c r="I5" s="284">
        <f t="shared" ref="I5:I10" si="0">+E5</f>
        <v>85.28</v>
      </c>
      <c r="J5" s="285">
        <f t="shared" ref="J5:J10" si="1">+E5</f>
        <v>85.28</v>
      </c>
      <c r="K5" s="285">
        <f>6*0.2*3+3.8+4.1+3+3.8+3.8+2.7+2.7+3.8</f>
        <v>31.3</v>
      </c>
      <c r="L5" s="286">
        <f>+(3.8+3*0.2+4.15+3.4+3*0.2)*H5</f>
        <v>33.759500000000003</v>
      </c>
      <c r="M5" s="286"/>
      <c r="N5" s="286"/>
      <c r="O5" s="286"/>
      <c r="P5" s="286"/>
      <c r="Q5" s="286"/>
      <c r="R5" s="286"/>
      <c r="S5" s="286"/>
      <c r="T5" s="286">
        <f>(3.8+2.15+2.15+3.8+3.8)*(2.205-0.6)+(4+4)*2.205</f>
        <v>42.838499999999996</v>
      </c>
      <c r="U5" s="286"/>
      <c r="V5" s="286"/>
      <c r="W5" s="286"/>
      <c r="X5" s="286"/>
      <c r="Y5" s="286"/>
      <c r="Z5" s="286"/>
      <c r="AA5" s="286"/>
      <c r="AB5" s="286">
        <f>(15.75+23.14+6.93+1.6+8.99+5.2+8.22+1.55+11.15+10.38+8.5)*0.5*0.9</f>
        <v>45.634500000000003</v>
      </c>
      <c r="AC5" s="286">
        <f>(15.75+23.14+6.93+1.6+8.99+5.2+8.22+1.55+11.15+10.38+8.5)*0.5</f>
        <v>50.705000000000005</v>
      </c>
      <c r="AD5" s="286"/>
      <c r="AE5" s="287">
        <v>85.28</v>
      </c>
      <c r="AF5" s="281" t="s">
        <v>565</v>
      </c>
      <c r="AG5" s="281">
        <v>2.69</v>
      </c>
      <c r="AH5" s="286">
        <v>2.69</v>
      </c>
      <c r="AI5" s="284">
        <f t="shared" ref="AI5:AI15" si="2">+AE5</f>
        <v>85.28</v>
      </c>
      <c r="AJ5" s="285">
        <f>+AE5</f>
        <v>85.28</v>
      </c>
      <c r="AK5" s="285">
        <f>+AE5</f>
        <v>85.28</v>
      </c>
      <c r="AL5" s="288"/>
      <c r="AM5" s="289">
        <f>+AE5</f>
        <v>85.28</v>
      </c>
      <c r="AN5" s="289">
        <f>0.2*3*6+3.8+4.25+3+3.8+3.8-0.95+2.15+2.15+3.8</f>
        <v>29.4</v>
      </c>
      <c r="AO5" s="289"/>
      <c r="AP5" s="289"/>
      <c r="AQ5" s="289"/>
      <c r="AR5" s="289"/>
      <c r="AS5" s="289"/>
      <c r="AT5" s="290"/>
      <c r="AU5" s="286">
        <f>(15.75+23.14+6.93+1.6+8.99+5.2+8.22+1.55+11.15+10.38+8.5)*0.9</f>
        <v>91.269000000000005</v>
      </c>
      <c r="AV5" s="286">
        <f>(15.75+23.14+6.93+1.6+8.99+5.2+8.22+1.55+11.15+10.38+8.5)*0.9</f>
        <v>91.269000000000005</v>
      </c>
      <c r="AW5" s="286"/>
      <c r="AX5" s="286"/>
      <c r="AY5" s="286"/>
      <c r="AZ5" s="286"/>
      <c r="BA5" s="286"/>
      <c r="BB5" s="286"/>
      <c r="BC5" s="286"/>
      <c r="BD5" s="286"/>
      <c r="BE5" s="288"/>
      <c r="BF5" s="289"/>
      <c r="BG5" s="285"/>
      <c r="BH5" s="285"/>
      <c r="BI5" s="286"/>
      <c r="BJ5" s="286"/>
      <c r="BK5" s="286">
        <f>0.2*3*6*AH5+(3.8+2.15+2.15+3.8+3.8)*(0.6+0.4)</f>
        <v>25.384</v>
      </c>
      <c r="BL5" s="286">
        <f>+(3.8+0.2*3+4.55+3.05)*AH5+0.75*0.69</f>
        <v>32.797499999999999</v>
      </c>
      <c r="BM5" s="286"/>
      <c r="BN5" s="286"/>
      <c r="BO5" s="286"/>
      <c r="BP5" s="286"/>
      <c r="BQ5" s="286"/>
      <c r="BR5" s="286">
        <f>+AE5</f>
        <v>85.28</v>
      </c>
      <c r="BS5" s="286">
        <f>+BR5</f>
        <v>85.28</v>
      </c>
      <c r="BT5" s="286"/>
      <c r="BU5" s="286">
        <f>16.83*7.88*2</f>
        <v>265.24079999999998</v>
      </c>
      <c r="BV5" s="286">
        <f>+BU5</f>
        <v>265.24079999999998</v>
      </c>
      <c r="BW5" s="286"/>
      <c r="BX5" s="286">
        <f>379-258</f>
        <v>121</v>
      </c>
      <c r="BY5" s="286">
        <f>115*2.7</f>
        <v>310.5</v>
      </c>
      <c r="BZ5" s="286">
        <f>(15.75+23.14+6.93+1.6+8.99+5.2+8.22+1.55+11.15+10.38+8.5)*0.9</f>
        <v>91.269000000000005</v>
      </c>
      <c r="CA5" s="286">
        <f>(15.75+23.14+6.93+1.6+8.99+5.2+8.22+1.55+11.15+10.38+8.5)</f>
        <v>101.41000000000001</v>
      </c>
      <c r="CB5" s="286">
        <f>(15.75+23.14+6.93+1.6+8.99+5.2+8.22+1.55+11.15+10.38+8.5)*0.5*0.6</f>
        <v>30.423000000000002</v>
      </c>
      <c r="CC5" s="286">
        <f>(15.75+23.14+6.93+1.6+8.99+5.2+8.22+1.55+11.15+10.38+8.5)*0.5</f>
        <v>50.705000000000005</v>
      </c>
      <c r="CD5" s="286"/>
      <c r="CE5" s="286">
        <f>(15.75+23.14+6.93+1.6+8.99+5.2+8.22+1.55+11.15+10.38+8.5)*0.5*0.2</f>
        <v>10.141000000000002</v>
      </c>
    </row>
    <row r="6" spans="1:83" s="281" customFormat="1" ht="12">
      <c r="A6" s="279"/>
      <c r="B6" s="280">
        <v>2</v>
      </c>
      <c r="C6" s="279" t="s">
        <v>566</v>
      </c>
      <c r="D6" s="281" t="s">
        <v>566</v>
      </c>
      <c r="E6" s="282">
        <v>10.199999999999999</v>
      </c>
      <c r="F6" s="283" t="s">
        <v>567</v>
      </c>
      <c r="G6" s="283">
        <v>2.69</v>
      </c>
      <c r="H6" s="281">
        <v>2.4900000000000002</v>
      </c>
      <c r="I6" s="284">
        <f t="shared" si="0"/>
        <v>10.199999999999999</v>
      </c>
      <c r="J6" s="285">
        <f t="shared" si="1"/>
        <v>10.199999999999999</v>
      </c>
      <c r="K6" s="285">
        <f>13.5-0.9-0.75</f>
        <v>11.85</v>
      </c>
      <c r="L6" s="286">
        <f>+(0.9+0.1+0.9)*H6</f>
        <v>4.7309999999999999</v>
      </c>
      <c r="M6" s="286"/>
      <c r="N6" s="286"/>
      <c r="O6" s="286"/>
      <c r="P6" s="286"/>
      <c r="Q6" s="286"/>
      <c r="R6" s="286"/>
      <c r="S6" s="286"/>
      <c r="T6" s="286"/>
      <c r="U6" s="286" t="s">
        <v>568</v>
      </c>
      <c r="V6" s="286" t="s">
        <v>569</v>
      </c>
      <c r="W6" s="286"/>
      <c r="X6" s="286"/>
      <c r="Y6" s="286"/>
      <c r="Z6" s="286"/>
      <c r="AA6" s="286">
        <f>0.6+2+0.6+0.6</f>
        <v>3.8000000000000003</v>
      </c>
      <c r="AB6" s="286"/>
      <c r="AC6" s="286"/>
      <c r="AD6" s="286"/>
      <c r="AE6" s="287">
        <v>10.199999999999999</v>
      </c>
      <c r="AF6" s="281" t="s">
        <v>565</v>
      </c>
      <c r="AG6" s="281">
        <v>2.69</v>
      </c>
      <c r="AH6" s="286">
        <v>2.4900000000000002</v>
      </c>
      <c r="AI6" s="284">
        <f t="shared" si="2"/>
        <v>10.199999999999999</v>
      </c>
      <c r="AJ6" s="285">
        <f t="shared" ref="AJ6:AJ13" si="3">+AE6</f>
        <v>10.199999999999999</v>
      </c>
      <c r="AK6" s="285">
        <f t="shared" ref="AK6:AK15" si="4">+AE6</f>
        <v>10.199999999999999</v>
      </c>
      <c r="AL6" s="288"/>
      <c r="AM6" s="289"/>
      <c r="AN6" s="289"/>
      <c r="AO6" s="289">
        <f>+AE6</f>
        <v>10.199999999999999</v>
      </c>
      <c r="AP6" s="289">
        <v>11.5</v>
      </c>
      <c r="AQ6" s="289"/>
      <c r="AR6" s="289"/>
      <c r="AS6" s="289"/>
      <c r="AT6" s="290"/>
      <c r="AU6" s="286"/>
      <c r="AV6" s="285"/>
      <c r="AW6" s="286"/>
      <c r="AX6" s="286"/>
      <c r="AY6" s="286"/>
      <c r="AZ6" s="286"/>
      <c r="BA6" s="286"/>
      <c r="BB6" s="286"/>
      <c r="BC6" s="286"/>
      <c r="BD6" s="286"/>
      <c r="BE6" s="288"/>
      <c r="BF6" s="289">
        <f>+(2.47+1.18+0.9+0.1+0.9)*AH6+0.75*0.49</f>
        <v>14.187000000000003</v>
      </c>
      <c r="BG6" s="285">
        <f>2*AH6</f>
        <v>4.9800000000000004</v>
      </c>
      <c r="BH6" s="285">
        <f>+BF6</f>
        <v>14.187000000000003</v>
      </c>
      <c r="BJ6" s="286">
        <f>+(0.95+2.35+0.2+0.3+2.35)*AH6+(0.75+1.1)*(1.5+0.39)+0.95*0.49</f>
        <v>19.275500000000001</v>
      </c>
      <c r="BK6" s="286"/>
      <c r="BL6" s="286"/>
      <c r="BM6" s="286"/>
      <c r="BN6" s="286"/>
      <c r="BO6" s="286"/>
      <c r="BP6" s="286" t="s">
        <v>570</v>
      </c>
      <c r="BQ6" s="286" t="s">
        <v>571</v>
      </c>
      <c r="BR6" s="286">
        <f>+AE6</f>
        <v>10.199999999999999</v>
      </c>
      <c r="BS6" s="286">
        <f t="shared" ref="BS6:BS15" si="5">+BR6</f>
        <v>10.199999999999999</v>
      </c>
      <c r="BT6" s="286"/>
      <c r="BU6" s="286">
        <f>5.5*4.6</f>
        <v>25.299999999999997</v>
      </c>
      <c r="BV6" s="286">
        <f t="shared" ref="BV6:BV12" si="6">+BU6</f>
        <v>25.299999999999997</v>
      </c>
      <c r="BW6" s="286"/>
      <c r="BX6" s="286"/>
      <c r="BY6" s="286"/>
      <c r="BZ6" s="286"/>
      <c r="CA6" s="286"/>
      <c r="CB6" s="286"/>
      <c r="CC6" s="286"/>
      <c r="CD6" s="286"/>
      <c r="CE6" s="286"/>
    </row>
    <row r="7" spans="1:83" s="281" customFormat="1" ht="12">
      <c r="A7" s="279"/>
      <c r="B7" s="280">
        <v>3</v>
      </c>
      <c r="C7" s="279" t="s">
        <v>572</v>
      </c>
      <c r="D7" s="281" t="s">
        <v>572</v>
      </c>
      <c r="E7" s="282">
        <v>4.2699999999999996</v>
      </c>
      <c r="F7" s="283" t="s">
        <v>567</v>
      </c>
      <c r="G7" s="283">
        <v>2.69</v>
      </c>
      <c r="H7" s="281">
        <v>2.4900000000000002</v>
      </c>
      <c r="I7" s="284">
        <f t="shared" si="0"/>
        <v>4.2699999999999996</v>
      </c>
      <c r="J7" s="285">
        <f t="shared" si="1"/>
        <v>4.2699999999999996</v>
      </c>
      <c r="L7" s="286">
        <f>+(6.2-1+0.3)*H7+1.65*(0.9+0.29)</f>
        <v>15.6585</v>
      </c>
      <c r="M7" s="286"/>
      <c r="N7" s="286"/>
      <c r="O7" s="286"/>
      <c r="P7" s="286"/>
      <c r="Q7" s="286"/>
      <c r="S7" s="286"/>
      <c r="T7" s="286"/>
      <c r="U7" s="286" t="s">
        <v>573</v>
      </c>
      <c r="V7" s="286" t="s">
        <v>574</v>
      </c>
      <c r="W7" s="286"/>
      <c r="X7" s="286"/>
      <c r="Y7" s="286"/>
      <c r="Z7" s="286"/>
      <c r="AA7" s="286">
        <f>1.3+1.3</f>
        <v>2.6</v>
      </c>
      <c r="AB7" s="286"/>
      <c r="AC7" s="286"/>
      <c r="AD7" s="286"/>
      <c r="AE7" s="287">
        <v>4.34</v>
      </c>
      <c r="AF7" s="281" t="s">
        <v>565</v>
      </c>
      <c r="AG7" s="281">
        <v>2.69</v>
      </c>
      <c r="AH7" s="286">
        <v>2.25</v>
      </c>
      <c r="AI7" s="284">
        <f t="shared" si="2"/>
        <v>4.34</v>
      </c>
      <c r="AJ7" s="285">
        <f t="shared" si="3"/>
        <v>4.34</v>
      </c>
      <c r="AK7" s="285">
        <f t="shared" si="4"/>
        <v>4.34</v>
      </c>
      <c r="AL7" s="288">
        <f>+AE7</f>
        <v>4.34</v>
      </c>
      <c r="AM7" s="289"/>
      <c r="AN7" s="289"/>
      <c r="AO7" s="289"/>
      <c r="AP7" s="289"/>
      <c r="AQ7" s="289"/>
      <c r="AR7" s="289"/>
      <c r="AS7" s="289"/>
      <c r="AT7" s="290"/>
      <c r="AU7" s="285"/>
      <c r="AV7" s="285"/>
      <c r="AW7" s="286"/>
      <c r="AX7" s="286"/>
      <c r="AY7" s="286"/>
      <c r="AZ7" s="286"/>
      <c r="BA7" s="286"/>
      <c r="BB7" s="286">
        <f>0.9*1.3</f>
        <v>1.1700000000000002</v>
      </c>
      <c r="BC7" s="286"/>
      <c r="BD7" s="286"/>
      <c r="BE7" s="288">
        <f>+(1.72+0.25*2+0.95+2+0.3)*AH7+1.45*(0.9+0.2)+1*0.2</f>
        <v>14.102499999999999</v>
      </c>
      <c r="BF7" s="289"/>
      <c r="BG7" s="285"/>
      <c r="BH7" s="285">
        <f>+BE7</f>
        <v>14.102499999999999</v>
      </c>
      <c r="BI7" s="286"/>
      <c r="BJ7" s="286">
        <f>8.35*0.29</f>
        <v>2.4214999999999995</v>
      </c>
      <c r="BK7" s="286"/>
      <c r="BL7" s="286"/>
      <c r="BM7" s="286"/>
      <c r="BN7" s="286"/>
      <c r="BO7" s="286"/>
      <c r="BP7" s="286" t="s">
        <v>575</v>
      </c>
      <c r="BQ7" s="286" t="s">
        <v>576</v>
      </c>
      <c r="BR7" s="286">
        <f t="shared" ref="BR7:BR14" si="7">+AE7</f>
        <v>4.34</v>
      </c>
      <c r="BS7" s="286">
        <f t="shared" si="5"/>
        <v>4.34</v>
      </c>
      <c r="BT7" s="286"/>
      <c r="BU7" s="286">
        <f>24*5.7</f>
        <v>136.80000000000001</v>
      </c>
      <c r="BV7" s="286">
        <f t="shared" si="6"/>
        <v>136.80000000000001</v>
      </c>
      <c r="BW7" s="286"/>
      <c r="BX7" s="286"/>
      <c r="BY7" s="286"/>
      <c r="BZ7" s="286"/>
      <c r="CA7" s="286"/>
      <c r="CB7" s="286"/>
      <c r="CC7" s="286"/>
      <c r="CD7" s="286"/>
      <c r="CE7" s="286"/>
    </row>
    <row r="8" spans="1:83" s="281" customFormat="1">
      <c r="A8" s="279"/>
      <c r="B8" s="280">
        <v>4</v>
      </c>
      <c r="C8" s="279" t="s">
        <v>577</v>
      </c>
      <c r="D8" s="281" t="s">
        <v>577</v>
      </c>
      <c r="E8" s="282">
        <v>18.77</v>
      </c>
      <c r="F8" s="283" t="s">
        <v>567</v>
      </c>
      <c r="G8" s="283">
        <v>2.69</v>
      </c>
      <c r="H8" s="281">
        <v>2.4900000000000002</v>
      </c>
      <c r="I8" s="284">
        <f t="shared" si="0"/>
        <v>18.77</v>
      </c>
      <c r="J8" s="285">
        <f t="shared" si="1"/>
        <v>18.77</v>
      </c>
      <c r="K8" s="285"/>
      <c r="L8">
        <f>+(2.95+4.4+0.4+2.17+1+0.3+1.25+1.22)*H8+(1.05+0.15+1.05)*1+(2*0.75+1)*0.49+(0.9+1.4)*(0.9+0.29)</f>
        <v>40.300100000000015</v>
      </c>
      <c r="M8"/>
      <c r="N8" s="286"/>
      <c r="O8" s="286"/>
      <c r="P8" s="286"/>
      <c r="Q8" s="286"/>
      <c r="S8" s="286"/>
      <c r="T8" s="286"/>
      <c r="U8" s="286" t="s">
        <v>578</v>
      </c>
      <c r="V8" s="286" t="s">
        <v>569</v>
      </c>
      <c r="W8" s="286"/>
      <c r="X8" s="286" t="s">
        <v>579</v>
      </c>
      <c r="Y8" s="286"/>
      <c r="Z8" s="286"/>
      <c r="AA8" s="286">
        <f>1.3*2+1.3</f>
        <v>3.9000000000000004</v>
      </c>
      <c r="AB8" s="286"/>
      <c r="AC8" s="286"/>
      <c r="AD8" s="286"/>
      <c r="AE8" s="287">
        <v>18.77</v>
      </c>
      <c r="AF8" s="281" t="s">
        <v>565</v>
      </c>
      <c r="AG8" s="281">
        <v>2.69</v>
      </c>
      <c r="AH8" s="286">
        <v>2.4900000000000002</v>
      </c>
      <c r="AI8" s="284">
        <f t="shared" si="2"/>
        <v>18.77</v>
      </c>
      <c r="AJ8" s="285">
        <f t="shared" si="3"/>
        <v>18.77</v>
      </c>
      <c r="AK8" s="285">
        <f t="shared" si="4"/>
        <v>18.77</v>
      </c>
      <c r="AL8" s="288"/>
      <c r="AM8" s="289"/>
      <c r="AN8" s="289"/>
      <c r="AO8" s="289">
        <f>+AE8</f>
        <v>18.77</v>
      </c>
      <c r="AP8" s="289"/>
      <c r="AQ8" s="289"/>
      <c r="AR8" s="289"/>
      <c r="AS8" s="289"/>
      <c r="AT8" s="290"/>
      <c r="AU8" s="285"/>
      <c r="AV8" s="285"/>
      <c r="AW8" s="286"/>
      <c r="AX8" s="286"/>
      <c r="AY8" s="286"/>
      <c r="AZ8" s="286"/>
      <c r="BA8" s="286"/>
      <c r="BB8" s="286"/>
      <c r="BC8" s="286"/>
      <c r="BD8" s="286"/>
      <c r="BE8" s="288"/>
      <c r="BF8" s="289">
        <f>+(2.95+4.4+0.35+0.3+2.17+1+0.2+0.2+1.23+1.22+0.33)*AH8+(1.05+0.15+1.05)*1+(1.5+0.9)*(0.9+0.29)+(0.75*2+1)*0.49</f>
        <v>42.062500000000007</v>
      </c>
      <c r="BG8" s="285">
        <f>3*AH8</f>
        <v>7.4700000000000006</v>
      </c>
      <c r="BH8" s="285">
        <f>+BF8</f>
        <v>42.062500000000007</v>
      </c>
      <c r="BI8" s="286"/>
      <c r="BJ8" s="286"/>
      <c r="BK8" s="286"/>
      <c r="BL8" s="286"/>
      <c r="BM8" s="286"/>
      <c r="BN8" s="286"/>
      <c r="BO8" s="286"/>
      <c r="BP8" s="286" t="s">
        <v>570</v>
      </c>
      <c r="BQ8" s="286" t="s">
        <v>578</v>
      </c>
      <c r="BR8" s="286">
        <f t="shared" si="7"/>
        <v>18.77</v>
      </c>
      <c r="BS8" s="286">
        <f t="shared" si="5"/>
        <v>18.77</v>
      </c>
      <c r="BT8" s="286"/>
      <c r="BU8" s="286">
        <f>10*5.7</f>
        <v>57</v>
      </c>
      <c r="BV8" s="286">
        <f t="shared" si="6"/>
        <v>57</v>
      </c>
      <c r="BW8" s="286"/>
      <c r="BX8" s="286"/>
      <c r="BY8" s="286"/>
      <c r="BZ8" s="286"/>
      <c r="CA8" s="286"/>
      <c r="CB8" s="286"/>
      <c r="CC8" s="286"/>
      <c r="CD8" s="286"/>
      <c r="CE8" s="286"/>
    </row>
    <row r="9" spans="1:83" s="281" customFormat="1" ht="12">
      <c r="A9" s="279"/>
      <c r="B9" s="280">
        <v>5</v>
      </c>
      <c r="C9" s="279" t="s">
        <v>580</v>
      </c>
      <c r="D9" s="281" t="s">
        <v>580</v>
      </c>
      <c r="E9" s="282">
        <v>15.27</v>
      </c>
      <c r="F9" s="283" t="s">
        <v>567</v>
      </c>
      <c r="G9" s="283">
        <v>2.69</v>
      </c>
      <c r="I9" s="284">
        <f t="shared" si="0"/>
        <v>15.27</v>
      </c>
      <c r="J9" s="285">
        <f t="shared" si="1"/>
        <v>15.27</v>
      </c>
      <c r="K9" s="285">
        <f>4.4*2+3.47+2.37</f>
        <v>14.64</v>
      </c>
      <c r="L9" s="286"/>
      <c r="M9" s="286"/>
      <c r="N9" s="286"/>
      <c r="O9" s="286"/>
      <c r="P9" s="286"/>
      <c r="Q9" s="286"/>
      <c r="S9" s="286"/>
      <c r="T9" s="286"/>
      <c r="U9" s="286" t="s">
        <v>581</v>
      </c>
      <c r="V9" s="286"/>
      <c r="W9" s="286"/>
      <c r="X9" s="286"/>
      <c r="Y9" s="286"/>
      <c r="Z9" s="286"/>
      <c r="AA9" s="286">
        <f>1*2+2</f>
        <v>4</v>
      </c>
      <c r="AB9" s="286"/>
      <c r="AC9" s="286"/>
      <c r="AD9" s="286"/>
      <c r="AE9" s="287">
        <v>15.27</v>
      </c>
      <c r="AF9" s="281" t="s">
        <v>565</v>
      </c>
      <c r="AG9" s="281">
        <v>2.69</v>
      </c>
      <c r="AH9" s="286"/>
      <c r="AI9" s="284">
        <f t="shared" si="2"/>
        <v>15.27</v>
      </c>
      <c r="AJ9" s="285">
        <f t="shared" si="3"/>
        <v>15.27</v>
      </c>
      <c r="AK9" s="285">
        <f t="shared" si="4"/>
        <v>15.27</v>
      </c>
      <c r="AL9" s="288"/>
      <c r="AM9" s="289"/>
      <c r="AN9" s="289"/>
      <c r="AO9" s="289"/>
      <c r="AP9" s="289"/>
      <c r="AQ9" s="289">
        <f>+AE9</f>
        <v>15.27</v>
      </c>
      <c r="AR9" s="289">
        <f>4.4*2+3.47+2.15</f>
        <v>14.420000000000002</v>
      </c>
      <c r="AS9" s="289"/>
      <c r="AT9" s="290"/>
      <c r="AU9" s="285"/>
      <c r="AV9" s="285"/>
      <c r="AW9" s="286"/>
      <c r="AX9" s="286"/>
      <c r="AY9" s="286"/>
      <c r="AZ9" s="286"/>
      <c r="BA9" s="286"/>
      <c r="BB9" s="286"/>
      <c r="BC9" s="286"/>
      <c r="BD9" s="286"/>
      <c r="BE9" s="288"/>
      <c r="BF9" s="289"/>
      <c r="BG9" s="285"/>
      <c r="BH9" s="285"/>
      <c r="BI9" s="286"/>
      <c r="BJ9" s="286">
        <f>15.74*AG9</f>
        <v>42.340600000000002</v>
      </c>
      <c r="BK9" s="286"/>
      <c r="BL9" s="286"/>
      <c r="BM9" s="286"/>
      <c r="BN9" s="286"/>
      <c r="BO9" s="286"/>
      <c r="BP9" s="286"/>
      <c r="BQ9" s="286" t="s">
        <v>575</v>
      </c>
      <c r="BR9" s="286">
        <f t="shared" si="7"/>
        <v>15.27</v>
      </c>
      <c r="BS9" s="286">
        <f t="shared" si="5"/>
        <v>15.27</v>
      </c>
      <c r="BT9" s="286"/>
      <c r="BU9" s="286">
        <f>12*5.7</f>
        <v>68.400000000000006</v>
      </c>
      <c r="BV9" s="286">
        <f t="shared" si="6"/>
        <v>68.400000000000006</v>
      </c>
      <c r="BW9" s="286"/>
      <c r="BX9" s="286"/>
      <c r="BY9" s="286"/>
      <c r="BZ9" s="286"/>
      <c r="CA9" s="286"/>
      <c r="CB9" s="286"/>
      <c r="CC9" s="286"/>
      <c r="CD9" s="286"/>
      <c r="CE9" s="286"/>
    </row>
    <row r="10" spans="1:83" s="281" customFormat="1" ht="12">
      <c r="A10" s="279"/>
      <c r="B10" s="280">
        <v>6</v>
      </c>
      <c r="C10" s="279" t="s">
        <v>582</v>
      </c>
      <c r="D10" s="291" t="s">
        <v>583</v>
      </c>
      <c r="E10" s="292">
        <v>23.32</v>
      </c>
      <c r="F10" s="293" t="s">
        <v>567</v>
      </c>
      <c r="G10" s="293">
        <v>2.69</v>
      </c>
      <c r="H10" s="291">
        <v>2.2000000000000002</v>
      </c>
      <c r="I10" s="294">
        <f t="shared" si="0"/>
        <v>23.32</v>
      </c>
      <c r="J10" s="295">
        <f t="shared" si="1"/>
        <v>23.32</v>
      </c>
      <c r="K10" s="295"/>
      <c r="L10" s="296">
        <f>+(0.7+4.4+1+4.4+3.6)*H10+4.3*(1.5+0.5)</f>
        <v>39.620000000000005</v>
      </c>
      <c r="M10" s="296"/>
      <c r="N10" s="296"/>
      <c r="O10" s="296"/>
      <c r="P10" s="296"/>
      <c r="Q10" s="296"/>
      <c r="R10" s="296"/>
      <c r="S10" s="296"/>
      <c r="T10" s="296"/>
      <c r="U10" s="296" t="s">
        <v>584</v>
      </c>
      <c r="V10" s="296"/>
      <c r="W10" s="296"/>
      <c r="X10" s="296"/>
      <c r="Y10" s="296" t="s">
        <v>585</v>
      </c>
      <c r="Z10" s="296">
        <f>+(1.6*4*2+3.6*2)*2</f>
        <v>40</v>
      </c>
      <c r="AA10" s="296">
        <f>0.7+2</f>
        <v>2.7</v>
      </c>
      <c r="AB10" s="296"/>
      <c r="AC10" s="296"/>
      <c r="AD10" s="286"/>
      <c r="AE10" s="287">
        <v>23.32</v>
      </c>
      <c r="AF10" s="281" t="s">
        <v>565</v>
      </c>
      <c r="AG10" s="281">
        <v>2.69</v>
      </c>
      <c r="AH10" s="286">
        <v>2.25</v>
      </c>
      <c r="AI10" s="284">
        <f t="shared" si="2"/>
        <v>23.32</v>
      </c>
      <c r="AJ10" s="285">
        <f t="shared" si="3"/>
        <v>23.32</v>
      </c>
      <c r="AK10" s="285">
        <f t="shared" si="4"/>
        <v>23.32</v>
      </c>
      <c r="AL10" s="288">
        <f>+AE10</f>
        <v>23.32</v>
      </c>
      <c r="AM10" s="289"/>
      <c r="AN10" s="289"/>
      <c r="AO10" s="289"/>
      <c r="AP10" s="289"/>
      <c r="AQ10" s="289"/>
      <c r="AR10" s="289"/>
      <c r="AS10" s="289"/>
      <c r="AT10" s="290"/>
      <c r="AU10" s="285"/>
      <c r="AV10" s="285"/>
      <c r="AW10" s="286"/>
      <c r="AX10" s="286"/>
      <c r="AY10" s="286"/>
      <c r="AZ10" s="286"/>
      <c r="BA10" s="286"/>
      <c r="BB10" s="286">
        <f>4*0.83*1.3</f>
        <v>4.3159999999999998</v>
      </c>
      <c r="BC10" s="286"/>
      <c r="BD10" s="286"/>
      <c r="BE10" s="288">
        <f>+(0.65+4.4+0.95+4.4+3.48)*AH10+(4.35)*1.5+1*0.25</f>
        <v>38.005000000000003</v>
      </c>
      <c r="BF10" s="289"/>
      <c r="BG10" s="285"/>
      <c r="BH10" s="285">
        <f>+BE10</f>
        <v>38.005000000000003</v>
      </c>
      <c r="BI10" s="286"/>
      <c r="BJ10" s="286"/>
      <c r="BK10" s="286"/>
      <c r="BL10" s="286"/>
      <c r="BM10" s="286">
        <f>+(1.6*4+3.6+1.6)*2.2</f>
        <v>25.52</v>
      </c>
      <c r="BN10" s="286" t="s">
        <v>586</v>
      </c>
      <c r="BO10" s="286"/>
      <c r="BP10" s="286"/>
      <c r="BQ10" s="286" t="s">
        <v>575</v>
      </c>
      <c r="BR10" s="286">
        <f t="shared" si="7"/>
        <v>23.32</v>
      </c>
      <c r="BS10" s="286">
        <f t="shared" si="5"/>
        <v>23.32</v>
      </c>
      <c r="BT10" s="286"/>
      <c r="BU10" s="286">
        <f>2.5*9</f>
        <v>22.5</v>
      </c>
      <c r="BV10" s="286">
        <f t="shared" si="6"/>
        <v>22.5</v>
      </c>
      <c r="BW10" s="286"/>
      <c r="BX10" s="286"/>
      <c r="BY10" s="286"/>
      <c r="BZ10" s="286"/>
      <c r="CA10" s="286"/>
      <c r="CB10" s="286"/>
      <c r="CC10" s="286"/>
      <c r="CD10" s="286"/>
      <c r="CE10" s="286"/>
    </row>
    <row r="11" spans="1:83" s="281" customFormat="1" ht="12">
      <c r="A11" s="279"/>
      <c r="B11" s="280">
        <v>7</v>
      </c>
      <c r="C11" s="279" t="s">
        <v>583</v>
      </c>
      <c r="D11" s="281" t="s">
        <v>582</v>
      </c>
      <c r="E11" s="282">
        <v>20.46</v>
      </c>
      <c r="F11" s="283" t="s">
        <v>567</v>
      </c>
      <c r="G11" s="283">
        <v>2.69</v>
      </c>
      <c r="H11" s="281">
        <v>2.2000000000000002</v>
      </c>
      <c r="I11" s="284">
        <f>+E11</f>
        <v>20.46</v>
      </c>
      <c r="J11" s="285">
        <f>+E11</f>
        <v>20.46</v>
      </c>
      <c r="K11" s="285"/>
      <c r="L11" s="281">
        <f>1.15*0.2+(0.88+4.4+1.25)*H11+3.4*1.5+3.28*H11+1.05*1.5+(0.5+2.63)*H11+(1.6*2+0.2)*H11</f>
        <v>42.853000000000009</v>
      </c>
      <c r="N11" s="286"/>
      <c r="O11" s="286">
        <f>2.63*2.5*0.25</f>
        <v>1.6437499999999998</v>
      </c>
      <c r="P11" s="286">
        <f>0.9*2</f>
        <v>1.8</v>
      </c>
      <c r="Q11" s="286"/>
      <c r="R11" s="286"/>
      <c r="S11" s="286"/>
      <c r="T11" s="286"/>
      <c r="U11" s="286" t="s">
        <v>587</v>
      </c>
      <c r="V11" s="286"/>
      <c r="W11" s="286"/>
      <c r="X11" s="286"/>
      <c r="Y11" s="296" t="s">
        <v>588</v>
      </c>
      <c r="Z11" s="286">
        <f>+(1.6*3+2.7)*2+6*1.5</f>
        <v>24</v>
      </c>
      <c r="AA11" s="286">
        <f>0.7+0.6*2</f>
        <v>1.9</v>
      </c>
      <c r="AB11" s="286"/>
      <c r="AC11" s="286"/>
      <c r="AD11" s="286"/>
      <c r="AE11" s="287">
        <v>26.1</v>
      </c>
      <c r="AF11" s="281" t="s">
        <v>565</v>
      </c>
      <c r="AG11" s="281">
        <v>2.69</v>
      </c>
      <c r="AH11" s="286">
        <v>2.25</v>
      </c>
      <c r="AI11" s="284">
        <f t="shared" si="2"/>
        <v>26.1</v>
      </c>
      <c r="AJ11" s="285">
        <f t="shared" si="3"/>
        <v>26.1</v>
      </c>
      <c r="AK11" s="285">
        <f t="shared" si="4"/>
        <v>26.1</v>
      </c>
      <c r="AL11" s="288">
        <f>+AE11</f>
        <v>26.1</v>
      </c>
      <c r="AM11" s="289"/>
      <c r="AN11" s="289"/>
      <c r="AO11" s="289"/>
      <c r="AP11" s="289"/>
      <c r="AQ11" s="289"/>
      <c r="AR11" s="289"/>
      <c r="AS11" s="289"/>
      <c r="AT11" s="290"/>
      <c r="AU11" s="285"/>
      <c r="AV11" s="285"/>
      <c r="AW11" s="286">
        <f>1.15*AG11*0.25</f>
        <v>0.77337499999999992</v>
      </c>
      <c r="AX11" s="286">
        <f>0.7*AG11+1.9*AG11</f>
        <v>6.9939999999999998</v>
      </c>
      <c r="AY11" s="286">
        <f>+AW11+AX11</f>
        <v>7.7673749999999995</v>
      </c>
      <c r="AZ11" s="286"/>
      <c r="BA11" s="286">
        <f>0.67*AG11</f>
        <v>1.8023</v>
      </c>
      <c r="BB11" s="286">
        <f>8*0.83*1.3</f>
        <v>8.6319999999999997</v>
      </c>
      <c r="BC11" s="286"/>
      <c r="BD11" s="286"/>
      <c r="BE11" s="288">
        <f>+(2.03+4.4+1.2+2.8+0.7+1.9+2.62+0.7+0.35)*AH11+1.1*0.25+3.4*(1.5+0.5)+1*(1.5+0.5)</f>
        <v>46.649999999999991</v>
      </c>
      <c r="BF11" s="289"/>
      <c r="BG11" s="285"/>
      <c r="BH11" s="285">
        <f t="shared" ref="BH11:BH12" si="8">+BE11</f>
        <v>46.649999999999991</v>
      </c>
      <c r="BI11" s="286"/>
      <c r="BJ11" s="286"/>
      <c r="BK11" s="286"/>
      <c r="BL11" s="286"/>
      <c r="BM11" s="286">
        <f>+(1.6*7+4.65+2.7)*2.2</f>
        <v>40.81</v>
      </c>
      <c r="BN11" s="286" t="s">
        <v>589</v>
      </c>
      <c r="BO11" s="286"/>
      <c r="BP11" s="286"/>
      <c r="BQ11" s="286" t="s">
        <v>590</v>
      </c>
      <c r="BR11" s="286">
        <f t="shared" si="7"/>
        <v>26.1</v>
      </c>
      <c r="BS11" s="286">
        <f t="shared" si="5"/>
        <v>26.1</v>
      </c>
      <c r="BT11" s="286"/>
      <c r="BU11" s="286">
        <f>12*5.7</f>
        <v>68.400000000000006</v>
      </c>
      <c r="BV11" s="286">
        <f t="shared" si="6"/>
        <v>68.400000000000006</v>
      </c>
      <c r="BW11" s="286"/>
      <c r="BX11" s="286"/>
      <c r="BY11" s="286"/>
      <c r="BZ11" s="286"/>
      <c r="CA11" s="286"/>
      <c r="CB11" s="286"/>
      <c r="CC11" s="286"/>
      <c r="CD11" s="286"/>
      <c r="CE11" s="286"/>
    </row>
    <row r="12" spans="1:83" s="281" customFormat="1" ht="12">
      <c r="A12" s="279"/>
      <c r="B12" s="280">
        <v>8</v>
      </c>
      <c r="C12" s="279" t="s">
        <v>591</v>
      </c>
      <c r="D12" s="281" t="s">
        <v>591</v>
      </c>
      <c r="E12" s="282">
        <v>5.32</v>
      </c>
      <c r="F12" s="283" t="s">
        <v>567</v>
      </c>
      <c r="G12" s="283">
        <v>2.69</v>
      </c>
      <c r="H12" s="281">
        <v>2.2000000000000002</v>
      </c>
      <c r="I12" s="284">
        <f>+E12</f>
        <v>5.32</v>
      </c>
      <c r="J12" s="285">
        <f>+E12</f>
        <v>5.32</v>
      </c>
      <c r="K12" s="285"/>
      <c r="L12" s="286">
        <f>+(0.9+2.8+1.9+2.8)*H12+1.1*0.2</f>
        <v>18.699999999999996</v>
      </c>
      <c r="M12" s="286"/>
      <c r="N12" s="286"/>
      <c r="O12" s="286"/>
      <c r="P12" s="286"/>
      <c r="Q12" s="286"/>
      <c r="R12" s="286"/>
      <c r="S12" s="286"/>
      <c r="T12" s="286"/>
      <c r="U12" s="286" t="s">
        <v>592</v>
      </c>
      <c r="V12" s="286"/>
      <c r="W12" s="286"/>
      <c r="X12" s="286"/>
      <c r="Y12" s="286" t="s">
        <v>593</v>
      </c>
      <c r="Z12" s="286"/>
      <c r="AA12" s="286"/>
      <c r="AB12" s="286"/>
      <c r="AC12" s="286"/>
      <c r="AD12" s="286"/>
      <c r="AE12" s="287">
        <v>4.5</v>
      </c>
      <c r="AF12" s="281" t="s">
        <v>565</v>
      </c>
      <c r="AG12" s="281">
        <v>2.69</v>
      </c>
      <c r="AH12" s="286">
        <v>2.25</v>
      </c>
      <c r="AI12" s="284">
        <f t="shared" si="2"/>
        <v>4.5</v>
      </c>
      <c r="AJ12" s="285">
        <f t="shared" si="3"/>
        <v>4.5</v>
      </c>
      <c r="AK12" s="285">
        <f t="shared" si="4"/>
        <v>4.5</v>
      </c>
      <c r="AL12" s="288">
        <f>+AE12</f>
        <v>4.5</v>
      </c>
      <c r="AM12" s="289"/>
      <c r="AN12" s="289"/>
      <c r="AO12" s="289"/>
      <c r="AP12" s="289"/>
      <c r="AQ12" s="289"/>
      <c r="AR12" s="289"/>
      <c r="AS12" s="289"/>
      <c r="AT12" s="290"/>
      <c r="AU12" s="285"/>
      <c r="AV12" s="285"/>
      <c r="AW12" s="286"/>
      <c r="AX12" s="286"/>
      <c r="AY12" s="286"/>
      <c r="AZ12" s="286">
        <f>+(2.5+1.83)*AG12</f>
        <v>11.6477</v>
      </c>
      <c r="BA12" s="286"/>
      <c r="BB12" s="286"/>
      <c r="BC12" s="286"/>
      <c r="BD12" s="286"/>
      <c r="BE12" s="288">
        <f>+(2.5*2+1.83+0.53+0.2)*AH12+1.1*0.25</f>
        <v>17.285</v>
      </c>
      <c r="BF12" s="289"/>
      <c r="BG12" s="285"/>
      <c r="BH12" s="285">
        <f t="shared" si="8"/>
        <v>17.285</v>
      </c>
      <c r="BI12" s="286"/>
      <c r="BJ12" s="286"/>
      <c r="BK12" s="286"/>
      <c r="BL12" s="286"/>
      <c r="BM12" s="286"/>
      <c r="BN12" s="286" t="s">
        <v>594</v>
      </c>
      <c r="BO12" s="286"/>
      <c r="BP12" s="286"/>
      <c r="BQ12" s="281" t="s">
        <v>575</v>
      </c>
      <c r="BR12" s="286">
        <f t="shared" si="7"/>
        <v>4.5</v>
      </c>
      <c r="BS12" s="286">
        <f t="shared" si="5"/>
        <v>4.5</v>
      </c>
      <c r="BT12" s="286"/>
      <c r="BU12" s="286">
        <f>7.5*4.5</f>
        <v>33.75</v>
      </c>
      <c r="BV12" s="286">
        <f t="shared" si="6"/>
        <v>33.75</v>
      </c>
      <c r="BW12" s="286"/>
      <c r="BX12" s="286"/>
      <c r="BY12" s="286"/>
      <c r="BZ12" s="286"/>
      <c r="CA12" s="286"/>
      <c r="CB12" s="286"/>
      <c r="CC12" s="286"/>
      <c r="CD12" s="286"/>
      <c r="CE12" s="286"/>
    </row>
    <row r="13" spans="1:83" s="281" customFormat="1" ht="12">
      <c r="A13" s="279"/>
      <c r="B13" s="280">
        <v>9</v>
      </c>
      <c r="C13" s="279" t="s">
        <v>595</v>
      </c>
      <c r="D13" s="281" t="s">
        <v>566</v>
      </c>
      <c r="E13" s="282">
        <v>8.8000000000000007</v>
      </c>
      <c r="F13" s="283" t="s">
        <v>567</v>
      </c>
      <c r="G13" s="283">
        <v>2.69</v>
      </c>
      <c r="I13" s="284">
        <f>+E13</f>
        <v>8.8000000000000007</v>
      </c>
      <c r="J13" s="285">
        <f>+E13</f>
        <v>8.8000000000000007</v>
      </c>
      <c r="K13" s="285">
        <f>1.5*2+0.2*2*2+4.8+4.2</f>
        <v>12.8</v>
      </c>
      <c r="L13" s="286"/>
      <c r="M13" s="286"/>
      <c r="N13" s="286">
        <f>5.2*2.5</f>
        <v>13</v>
      </c>
      <c r="O13" s="286"/>
      <c r="P13" s="286"/>
      <c r="Q13" s="286"/>
      <c r="R13" s="286"/>
      <c r="S13" s="286"/>
      <c r="T13" s="286"/>
      <c r="U13" s="286"/>
      <c r="V13" s="286" t="s">
        <v>574</v>
      </c>
      <c r="W13" s="286"/>
      <c r="X13" s="286"/>
      <c r="Y13" s="286"/>
      <c r="Z13" s="286"/>
      <c r="AA13" s="286"/>
      <c r="AB13" s="286"/>
      <c r="AC13" s="286"/>
      <c r="AD13" s="286"/>
      <c r="AE13" s="287">
        <v>15.86</v>
      </c>
      <c r="AF13" s="281" t="s">
        <v>565</v>
      </c>
      <c r="AG13" s="281">
        <v>2.69</v>
      </c>
      <c r="AH13" s="286"/>
      <c r="AI13" s="284">
        <f t="shared" si="2"/>
        <v>15.86</v>
      </c>
      <c r="AJ13" s="285">
        <f t="shared" si="3"/>
        <v>15.86</v>
      </c>
      <c r="AK13" s="285">
        <f t="shared" si="4"/>
        <v>15.86</v>
      </c>
      <c r="AL13" s="288"/>
      <c r="AM13" s="289"/>
      <c r="AN13" s="289"/>
      <c r="AO13" s="289"/>
      <c r="AP13" s="289"/>
      <c r="AQ13" s="289">
        <f>+AE13</f>
        <v>15.86</v>
      </c>
      <c r="AR13" s="289">
        <f>+(1.2+0.85+3.58+0.87+3.05+0.2)</f>
        <v>9.75</v>
      </c>
      <c r="AS13" s="289"/>
      <c r="AT13" s="290"/>
      <c r="AU13" s="285"/>
      <c r="AV13" s="285"/>
      <c r="AW13" s="286"/>
      <c r="AX13" s="286"/>
      <c r="AY13" s="286"/>
      <c r="AZ13" s="286"/>
      <c r="BA13" s="286"/>
      <c r="BB13" s="286"/>
      <c r="BC13" s="286">
        <f>4.8*AG13</f>
        <v>12.911999999999999</v>
      </c>
      <c r="BD13" s="286"/>
      <c r="BE13" s="288"/>
      <c r="BF13" s="289"/>
      <c r="BG13" s="285"/>
      <c r="BH13" s="285"/>
      <c r="BI13" s="286"/>
      <c r="BJ13" s="286">
        <f>(16.5-4.8)*AG13</f>
        <v>31.472999999999999</v>
      </c>
      <c r="BK13" s="286"/>
      <c r="BL13" s="286"/>
      <c r="BM13" s="286"/>
      <c r="BP13" s="286"/>
      <c r="BQ13" s="286" t="s">
        <v>596</v>
      </c>
      <c r="BR13" s="286">
        <f t="shared" si="7"/>
        <v>15.86</v>
      </c>
      <c r="BS13" s="286">
        <f t="shared" si="5"/>
        <v>15.86</v>
      </c>
      <c r="BT13" s="286"/>
      <c r="BU13" s="286"/>
      <c r="BV13" s="286"/>
      <c r="BW13" s="286"/>
      <c r="BX13" s="286"/>
      <c r="BY13" s="286"/>
      <c r="BZ13" s="286"/>
      <c r="CA13" s="286"/>
      <c r="CB13" s="286"/>
      <c r="CC13" s="286"/>
      <c r="CD13" s="286"/>
      <c r="CE13" s="286"/>
    </row>
    <row r="14" spans="1:83" s="281" customFormat="1" ht="12">
      <c r="A14" s="279"/>
      <c r="B14" s="280">
        <v>10</v>
      </c>
      <c r="C14" s="279" t="s">
        <v>566</v>
      </c>
      <c r="D14" s="281" t="s">
        <v>597</v>
      </c>
      <c r="E14" s="282">
        <v>34.32</v>
      </c>
      <c r="F14" s="283" t="s">
        <v>567</v>
      </c>
      <c r="G14" s="283">
        <v>2.69</v>
      </c>
      <c r="I14" s="284">
        <f>+E14</f>
        <v>34.32</v>
      </c>
      <c r="J14" s="285">
        <f>+E14</f>
        <v>34.32</v>
      </c>
      <c r="K14" s="285">
        <f>4.2+1.1+6.4+3*0.2+5.2</f>
        <v>17.5</v>
      </c>
      <c r="L14" s="286"/>
      <c r="M14" s="286"/>
      <c r="N14" s="286"/>
      <c r="O14" s="286"/>
      <c r="P14" s="286"/>
      <c r="Q14" s="286"/>
      <c r="R14" s="286"/>
      <c r="S14" s="286"/>
      <c r="T14" s="286">
        <f>+(2.15+3.15)*2.5</f>
        <v>13.25</v>
      </c>
      <c r="U14" s="286" t="s">
        <v>598</v>
      </c>
      <c r="V14" s="286"/>
      <c r="W14" s="286"/>
      <c r="X14" s="286" t="s">
        <v>599</v>
      </c>
      <c r="Y14" s="286"/>
      <c r="Z14" s="286"/>
      <c r="AA14" s="286"/>
      <c r="AB14" s="286"/>
      <c r="AC14" s="286"/>
      <c r="AD14" s="286"/>
      <c r="AE14" s="287">
        <v>4.59</v>
      </c>
      <c r="AF14" s="281" t="s">
        <v>565</v>
      </c>
      <c r="AG14" s="281">
        <v>2.69</v>
      </c>
      <c r="AH14" s="286"/>
      <c r="AI14" s="284">
        <f t="shared" si="2"/>
        <v>4.59</v>
      </c>
      <c r="AJ14" s="285">
        <f>+AE14</f>
        <v>4.59</v>
      </c>
      <c r="AK14" s="285">
        <f t="shared" si="4"/>
        <v>4.59</v>
      </c>
      <c r="AL14" s="288"/>
      <c r="AM14" s="289"/>
      <c r="AN14" s="289"/>
      <c r="AO14" s="289"/>
      <c r="AP14" s="289"/>
      <c r="AQ14" s="289">
        <f>+AE14</f>
        <v>4.59</v>
      </c>
      <c r="AR14" s="289">
        <f>8.8-0.85</f>
        <v>7.9500000000000011</v>
      </c>
      <c r="AS14" s="289"/>
      <c r="AT14" s="290"/>
      <c r="AU14" s="285"/>
      <c r="AV14" s="285"/>
      <c r="AW14" s="286"/>
      <c r="AX14" s="286"/>
      <c r="AY14" s="286"/>
      <c r="AZ14" s="286">
        <f>2.6*AG14</f>
        <v>6.9939999999999998</v>
      </c>
      <c r="BA14" s="286"/>
      <c r="BB14" s="286"/>
      <c r="BC14" s="286"/>
      <c r="BD14" s="286"/>
      <c r="BE14" s="288"/>
      <c r="BF14" s="289"/>
      <c r="BG14" s="285"/>
      <c r="BH14" s="285"/>
      <c r="BI14" s="286"/>
      <c r="BJ14" s="286">
        <f>8.8*AG14</f>
        <v>23.672000000000001</v>
      </c>
      <c r="BK14" s="286"/>
      <c r="BL14" s="286"/>
      <c r="BM14" s="286"/>
      <c r="BN14" s="286"/>
      <c r="BO14" s="286"/>
      <c r="BP14" s="286" t="s">
        <v>600</v>
      </c>
      <c r="BQ14" s="286"/>
      <c r="BR14" s="286">
        <f t="shared" si="7"/>
        <v>4.59</v>
      </c>
      <c r="BS14" s="286">
        <f t="shared" si="5"/>
        <v>4.59</v>
      </c>
      <c r="BT14" s="286"/>
      <c r="BU14" s="286"/>
      <c r="BV14" s="286"/>
      <c r="BW14" s="286"/>
      <c r="BX14" s="286"/>
      <c r="BY14" s="286"/>
      <c r="BZ14" s="286"/>
      <c r="CA14" s="286"/>
      <c r="CB14" s="286"/>
      <c r="CC14" s="286"/>
      <c r="CD14" s="286"/>
      <c r="CE14" s="286"/>
    </row>
    <row r="15" spans="1:83" s="281" customFormat="1" ht="12">
      <c r="A15" s="297"/>
      <c r="B15" s="298">
        <v>11</v>
      </c>
      <c r="C15" s="297" t="s">
        <v>601</v>
      </c>
      <c r="D15" s="299"/>
      <c r="E15" s="282"/>
      <c r="F15" s="283"/>
      <c r="G15" s="283"/>
      <c r="I15" s="300"/>
      <c r="J15" s="301"/>
      <c r="K15" s="301"/>
      <c r="L15" s="301"/>
      <c r="M15" s="301"/>
      <c r="N15" s="301"/>
      <c r="O15" s="301"/>
      <c r="P15" s="301"/>
      <c r="Q15" s="301"/>
      <c r="R15" s="301"/>
      <c r="S15" s="301"/>
      <c r="T15" s="301"/>
      <c r="U15" s="301"/>
      <c r="V15" s="301"/>
      <c r="W15" s="301"/>
      <c r="X15" s="301"/>
      <c r="Y15" s="301"/>
      <c r="Z15" s="301"/>
      <c r="AA15" s="301"/>
      <c r="AB15" s="301"/>
      <c r="AC15" s="301"/>
      <c r="AD15" s="301"/>
      <c r="AE15" s="302">
        <v>16.899999999999999</v>
      </c>
      <c r="AF15" s="299" t="s">
        <v>565</v>
      </c>
      <c r="AG15" s="299">
        <v>2.69</v>
      </c>
      <c r="AH15" s="301"/>
      <c r="AI15" s="300">
        <f t="shared" si="2"/>
        <v>16.899999999999999</v>
      </c>
      <c r="AJ15" s="301">
        <f>+AE15</f>
        <v>16.899999999999999</v>
      </c>
      <c r="AK15" s="285">
        <f t="shared" si="4"/>
        <v>16.899999999999999</v>
      </c>
      <c r="AL15" s="303"/>
      <c r="AM15" s="304"/>
      <c r="AN15" s="304"/>
      <c r="AO15" s="304"/>
      <c r="AP15" s="304"/>
      <c r="AQ15" s="304">
        <f>+AE15</f>
        <v>16.899999999999999</v>
      </c>
      <c r="AR15" s="304">
        <f>0.2+0.1+3.3+5+0.7+0.7</f>
        <v>9.9999999999999982</v>
      </c>
      <c r="AS15" s="304"/>
      <c r="AT15" s="305"/>
      <c r="AU15" s="301"/>
      <c r="AV15" s="301"/>
      <c r="AW15" s="301"/>
      <c r="AX15" s="301"/>
      <c r="AY15" s="301"/>
      <c r="AZ15" s="301"/>
      <c r="BA15" s="301"/>
      <c r="BB15" s="301"/>
      <c r="BC15" s="301"/>
      <c r="BD15" s="301"/>
      <c r="BE15" s="303"/>
      <c r="BF15" s="304"/>
      <c r="BG15" s="301"/>
      <c r="BH15" s="301"/>
      <c r="BI15" s="301"/>
      <c r="BJ15" s="301">
        <f>3.3*AG15</f>
        <v>8.8769999999999989</v>
      </c>
      <c r="BK15" s="301"/>
      <c r="BL15" s="301"/>
      <c r="BM15" s="301"/>
      <c r="BN15" s="301"/>
      <c r="BO15" s="301"/>
      <c r="BP15" s="301"/>
      <c r="BQ15" s="301" t="s">
        <v>602</v>
      </c>
      <c r="BR15" s="301">
        <f>+AE15</f>
        <v>16.899999999999999</v>
      </c>
      <c r="BS15" s="286">
        <f t="shared" si="5"/>
        <v>16.899999999999999</v>
      </c>
      <c r="BT15" s="286"/>
      <c r="BU15" s="301"/>
      <c r="BV15" s="301"/>
      <c r="BW15" s="301"/>
      <c r="BX15" s="301"/>
      <c r="BY15" s="301"/>
      <c r="BZ15" s="301"/>
      <c r="CA15" s="301"/>
      <c r="CB15" s="301"/>
      <c r="CC15" s="301"/>
      <c r="CD15" s="301"/>
      <c r="CE15" s="301"/>
    </row>
    <row r="16" spans="1:83" s="315" customFormat="1" thickBot="1">
      <c r="A16" s="306" t="s">
        <v>603</v>
      </c>
      <c r="B16" s="307"/>
      <c r="C16" s="306"/>
      <c r="D16" s="308"/>
      <c r="E16" s="309">
        <f>SUM(E5:E15)</f>
        <v>226.01</v>
      </c>
      <c r="F16" s="310"/>
      <c r="G16" s="310"/>
      <c r="H16" s="310"/>
      <c r="I16" s="309">
        <f>SUM(I5:I15)</f>
        <v>226.01</v>
      </c>
      <c r="J16" s="310">
        <f>SUM(J5:J15)</f>
        <v>226.01</v>
      </c>
      <c r="K16" s="310">
        <f t="shared" ref="K16:T16" si="9">SUM(K5:K15)</f>
        <v>88.09</v>
      </c>
      <c r="L16" s="310">
        <f t="shared" si="9"/>
        <v>195.62210000000002</v>
      </c>
      <c r="M16" s="310"/>
      <c r="N16" s="310">
        <f t="shared" si="9"/>
        <v>13</v>
      </c>
      <c r="O16" s="310">
        <f t="shared" si="9"/>
        <v>1.6437499999999998</v>
      </c>
      <c r="P16" s="310">
        <f t="shared" si="9"/>
        <v>1.8</v>
      </c>
      <c r="Q16" s="310"/>
      <c r="R16" s="310">
        <f>+R34*1.1</f>
        <v>317.17510000000004</v>
      </c>
      <c r="S16" s="310">
        <f>+S34*1.05</f>
        <v>711.26034000000004</v>
      </c>
      <c r="T16" s="310">
        <f t="shared" si="9"/>
        <v>56.088499999999996</v>
      </c>
      <c r="U16" s="310"/>
      <c r="V16" s="310"/>
      <c r="W16" s="310"/>
      <c r="X16" s="310"/>
      <c r="Y16" s="310"/>
      <c r="Z16" s="310">
        <f t="shared" ref="Z16:AA16" si="10">SUM(Z5:Z15)</f>
        <v>64</v>
      </c>
      <c r="AA16" s="310">
        <f t="shared" si="10"/>
        <v>18.899999999999999</v>
      </c>
      <c r="AB16" s="310">
        <f t="shared" ref="AB16:AC16" si="11">SUM(AB5:AB15)</f>
        <v>45.634500000000003</v>
      </c>
      <c r="AC16" s="310">
        <f t="shared" si="11"/>
        <v>50.705000000000005</v>
      </c>
      <c r="AD16" s="310"/>
      <c r="AE16" s="311">
        <f>SUM(AE5:AE15)</f>
        <v>225.13</v>
      </c>
      <c r="AF16" s="308"/>
      <c r="AG16" s="308"/>
      <c r="AH16" s="310"/>
      <c r="AI16" s="309">
        <f>SUM(AI5:AI15)</f>
        <v>225.13</v>
      </c>
      <c r="AJ16" s="312">
        <f>SUM(AJ5:AJ15)*1.1</f>
        <v>247.64300000000003</v>
      </c>
      <c r="AK16" s="312">
        <f t="shared" ref="AK16" si="12">SUM(AK5:AK15)</f>
        <v>225.13</v>
      </c>
      <c r="AL16" s="312">
        <f>SUM(AL5:AL15)</f>
        <v>58.260000000000005</v>
      </c>
      <c r="AM16" s="313">
        <f t="shared" ref="AM16:BL16" si="13">SUM(AM5:AM15)</f>
        <v>85.28</v>
      </c>
      <c r="AN16" s="313">
        <f t="shared" si="13"/>
        <v>29.4</v>
      </c>
      <c r="AO16" s="313">
        <f t="shared" si="13"/>
        <v>28.97</v>
      </c>
      <c r="AP16" s="313">
        <f t="shared" si="13"/>
        <v>11.5</v>
      </c>
      <c r="AQ16" s="313">
        <f t="shared" si="13"/>
        <v>52.62</v>
      </c>
      <c r="AR16" s="313">
        <f t="shared" si="13"/>
        <v>42.120000000000005</v>
      </c>
      <c r="AS16" s="313">
        <f t="shared" si="13"/>
        <v>0</v>
      </c>
      <c r="AT16" s="314">
        <f t="shared" si="13"/>
        <v>0</v>
      </c>
      <c r="AU16" s="310">
        <f t="shared" si="13"/>
        <v>91.269000000000005</v>
      </c>
      <c r="AV16" s="310">
        <f>SUM(AV5:AV15)*1.1</f>
        <v>100.39590000000001</v>
      </c>
      <c r="AW16" s="310">
        <f t="shared" si="13"/>
        <v>0.77337499999999992</v>
      </c>
      <c r="AX16" s="310">
        <f t="shared" si="13"/>
        <v>6.9939999999999998</v>
      </c>
      <c r="AY16" s="310">
        <f t="shared" si="13"/>
        <v>7.7673749999999995</v>
      </c>
      <c r="AZ16" s="310">
        <f t="shared" si="13"/>
        <v>18.6417</v>
      </c>
      <c r="BA16" s="310">
        <f t="shared" si="13"/>
        <v>1.8023</v>
      </c>
      <c r="BB16" s="310">
        <f t="shared" si="13"/>
        <v>14.117999999999999</v>
      </c>
      <c r="BC16" s="310">
        <f t="shared" si="13"/>
        <v>12.911999999999999</v>
      </c>
      <c r="BD16" s="310"/>
      <c r="BE16" s="310">
        <f t="shared" si="13"/>
        <v>116.04249999999999</v>
      </c>
      <c r="BF16" s="310">
        <f t="shared" si="13"/>
        <v>56.249500000000012</v>
      </c>
      <c r="BG16" s="310">
        <f t="shared" si="13"/>
        <v>12.450000000000001</v>
      </c>
      <c r="BH16" s="310">
        <f t="shared" si="13"/>
        <v>172.292</v>
      </c>
      <c r="BI16" s="310">
        <f t="shared" si="13"/>
        <v>0</v>
      </c>
      <c r="BJ16" s="310">
        <f t="shared" si="13"/>
        <v>128.05959999999999</v>
      </c>
      <c r="BK16" s="310">
        <f t="shared" si="13"/>
        <v>25.384</v>
      </c>
      <c r="BL16" s="310">
        <f t="shared" si="13"/>
        <v>32.797499999999999</v>
      </c>
      <c r="BM16" s="310"/>
      <c r="BN16" s="310"/>
      <c r="BO16" s="310"/>
      <c r="BP16" s="310"/>
      <c r="BQ16" s="310"/>
      <c r="BR16" s="310">
        <f>SUM(BR5:BR15)</f>
        <v>225.13</v>
      </c>
      <c r="BS16" s="310">
        <f>SUM(BS5:BS15)</f>
        <v>225.13</v>
      </c>
      <c r="BT16" s="310"/>
      <c r="BU16" s="310">
        <f>SUM(BU5:BU15)*1.05</f>
        <v>711.26034000000004</v>
      </c>
      <c r="BV16" s="310">
        <f>SUM(BV5:BV15)*1.03</f>
        <v>697.71252400000003</v>
      </c>
      <c r="BW16" s="310">
        <f>+BW34*1.1</f>
        <v>317.17510000000004</v>
      </c>
      <c r="BX16" s="310">
        <f>SUM(BX5:BX15)</f>
        <v>121</v>
      </c>
      <c r="BY16" s="310">
        <f>SUM(BY5:BY15)</f>
        <v>310.5</v>
      </c>
      <c r="BZ16" s="310">
        <f>SUM(BZ5:BZ15)</f>
        <v>91.269000000000005</v>
      </c>
      <c r="CA16" s="310">
        <f>SUM(CA5:CA15)</f>
        <v>101.41000000000001</v>
      </c>
      <c r="CB16" s="310">
        <f>SUM(CB5:CB15)</f>
        <v>30.423000000000002</v>
      </c>
      <c r="CC16" s="310">
        <f t="shared" ref="CC16:CD16" si="14">SUM(CC5:CC15)</f>
        <v>50.705000000000005</v>
      </c>
      <c r="CD16" s="310">
        <f t="shared" si="14"/>
        <v>0</v>
      </c>
      <c r="CE16" s="310">
        <f>SUM(CE5:CE15)</f>
        <v>10.141000000000002</v>
      </c>
    </row>
    <row r="17" spans="1:83" s="281" customFormat="1" thickTop="1">
      <c r="A17" s="316" t="s">
        <v>604</v>
      </c>
      <c r="B17" s="317">
        <v>1</v>
      </c>
      <c r="C17" s="318" t="s">
        <v>605</v>
      </c>
      <c r="D17" s="293" t="s">
        <v>718</v>
      </c>
      <c r="E17" s="284">
        <v>29.24</v>
      </c>
      <c r="F17" s="285" t="s">
        <v>567</v>
      </c>
      <c r="G17" s="285"/>
      <c r="H17" s="286">
        <v>2.9</v>
      </c>
      <c r="I17" s="284">
        <f>+E17</f>
        <v>29.24</v>
      </c>
      <c r="J17" s="285">
        <f>+E17</f>
        <v>29.24</v>
      </c>
      <c r="K17" s="285">
        <f>7.2+2.5+0.4+0.45+7.2+0.6+0.7+0.3+1.3</f>
        <v>20.650000000000002</v>
      </c>
      <c r="L17" s="286"/>
      <c r="M17" s="286"/>
      <c r="N17" s="286"/>
      <c r="O17" s="286"/>
      <c r="P17" s="286"/>
      <c r="Q17" s="286"/>
      <c r="R17" s="286"/>
      <c r="S17" s="286"/>
      <c r="T17" s="286"/>
      <c r="U17" s="286" t="s">
        <v>729</v>
      </c>
      <c r="V17" s="286" t="s">
        <v>727</v>
      </c>
      <c r="W17" s="286"/>
      <c r="X17" s="286"/>
      <c r="Y17" s="286"/>
      <c r="Z17" s="286"/>
      <c r="AA17" s="286"/>
      <c r="AB17" s="286"/>
      <c r="AC17" s="286"/>
      <c r="AD17" s="286"/>
      <c r="AE17" s="287">
        <v>20.63</v>
      </c>
      <c r="AF17" s="281" t="s">
        <v>606</v>
      </c>
      <c r="AH17" s="286">
        <v>2.9</v>
      </c>
      <c r="AI17" s="319">
        <f t="shared" ref="AI17:AI30" si="15">+AE17</f>
        <v>20.63</v>
      </c>
      <c r="AJ17" s="320"/>
      <c r="AK17" s="320"/>
      <c r="AL17" s="321"/>
      <c r="AM17" s="322"/>
      <c r="AN17" s="322"/>
      <c r="AO17" s="322"/>
      <c r="AP17" s="322"/>
      <c r="AQ17" s="322"/>
      <c r="AR17" s="322"/>
      <c r="AS17" s="322">
        <f>+AE17</f>
        <v>20.63</v>
      </c>
      <c r="AT17" s="323"/>
      <c r="AU17" s="285"/>
      <c r="AV17" s="285"/>
      <c r="AW17" s="286"/>
      <c r="AX17" s="286"/>
      <c r="AY17" s="286"/>
      <c r="AZ17" s="286"/>
      <c r="BA17" s="286"/>
      <c r="BB17" s="286"/>
      <c r="BC17" s="286"/>
      <c r="BD17" s="286"/>
      <c r="BE17" s="321"/>
      <c r="BF17" s="322"/>
      <c r="BG17" s="285"/>
      <c r="BH17" s="285"/>
      <c r="BI17" s="286"/>
      <c r="BJ17" s="286"/>
      <c r="BK17" s="286"/>
      <c r="BL17" s="286"/>
      <c r="BM17" s="286"/>
      <c r="BN17" s="286"/>
      <c r="BO17" s="286"/>
      <c r="BP17" s="286"/>
      <c r="BQ17" s="286" t="s">
        <v>739</v>
      </c>
      <c r="BR17" s="286"/>
      <c r="BS17" s="286"/>
      <c r="BT17" s="286"/>
      <c r="BU17" s="286"/>
      <c r="BV17" s="286"/>
      <c r="BW17" s="286"/>
      <c r="BX17" s="286"/>
      <c r="BY17" s="286"/>
      <c r="BZ17" s="286"/>
      <c r="CA17" s="286"/>
      <c r="CB17" s="286"/>
      <c r="CC17" s="286"/>
      <c r="CD17" s="286"/>
      <c r="CE17" s="286"/>
    </row>
    <row r="18" spans="1:83" s="281" customFormat="1" ht="12">
      <c r="A18" s="316"/>
      <c r="B18" s="317">
        <v>2</v>
      </c>
      <c r="C18" s="318" t="s">
        <v>607</v>
      </c>
      <c r="D18" s="293" t="s">
        <v>608</v>
      </c>
      <c r="E18" s="284">
        <v>30.05</v>
      </c>
      <c r="F18" s="285" t="s">
        <v>567</v>
      </c>
      <c r="G18" s="285"/>
      <c r="H18" s="286">
        <v>2.9</v>
      </c>
      <c r="I18" s="284">
        <f>+E18</f>
        <v>30.05</v>
      </c>
      <c r="J18" s="285">
        <f>+E18</f>
        <v>30.05</v>
      </c>
      <c r="K18" s="285">
        <f>4.8+3+2.3+3.45+2.92+0.3+1.65</f>
        <v>18.419999999999998</v>
      </c>
      <c r="L18" s="286"/>
      <c r="M18" s="286"/>
      <c r="N18" s="286"/>
      <c r="O18" s="286"/>
      <c r="P18" s="286">
        <f>(3.7+1.35)*H18</f>
        <v>14.645000000000001</v>
      </c>
      <c r="Q18" s="286">
        <f>2.7*H18</f>
        <v>7.83</v>
      </c>
      <c r="R18" s="286"/>
      <c r="S18" s="286"/>
      <c r="T18" s="286">
        <f>3.5*1.5</f>
        <v>5.25</v>
      </c>
      <c r="U18" s="286" t="s">
        <v>728</v>
      </c>
      <c r="V18" s="286" t="s">
        <v>725</v>
      </c>
      <c r="W18" s="286"/>
      <c r="X18" s="286"/>
      <c r="Y18" s="286"/>
      <c r="Z18" s="286"/>
      <c r="AA18" s="286"/>
      <c r="AB18" s="286"/>
      <c r="AC18" s="286"/>
      <c r="AD18" s="286"/>
      <c r="AE18" s="287">
        <v>14</v>
      </c>
      <c r="AF18" s="281" t="s">
        <v>606</v>
      </c>
      <c r="AH18" s="286">
        <v>2.9</v>
      </c>
      <c r="AI18" s="284">
        <f t="shared" si="15"/>
        <v>14</v>
      </c>
      <c r="AJ18" s="285"/>
      <c r="AK18" s="285"/>
      <c r="AL18" s="288"/>
      <c r="AM18" s="289"/>
      <c r="AN18" s="289"/>
      <c r="AO18" s="289"/>
      <c r="AP18" s="289"/>
      <c r="AQ18" s="289"/>
      <c r="AR18" s="289"/>
      <c r="AS18" s="289">
        <f>+AE18</f>
        <v>14</v>
      </c>
      <c r="AT18" s="290"/>
      <c r="AU18" s="285"/>
      <c r="AV18" s="285"/>
      <c r="AW18" s="286"/>
      <c r="AX18" s="286"/>
      <c r="AY18" s="286"/>
      <c r="AZ18" s="286"/>
      <c r="BA18" s="286"/>
      <c r="BB18" s="286"/>
      <c r="BC18" s="286"/>
      <c r="BD18" s="286"/>
      <c r="BE18" s="288"/>
      <c r="BF18" s="289"/>
      <c r="BG18" s="285"/>
      <c r="BH18" s="285"/>
      <c r="BI18" s="286"/>
      <c r="BJ18" s="286"/>
      <c r="BK18" s="286"/>
      <c r="BL18" s="286"/>
      <c r="BM18" s="286"/>
      <c r="BN18" s="286"/>
      <c r="BO18" s="286"/>
      <c r="BP18" s="286" t="s">
        <v>732</v>
      </c>
      <c r="BQ18" s="286" t="s">
        <v>740</v>
      </c>
      <c r="BR18" s="286"/>
      <c r="BS18" s="286"/>
      <c r="BT18" s="286"/>
      <c r="BU18" s="286"/>
      <c r="BV18" s="286"/>
      <c r="BW18" s="286"/>
      <c r="BX18" s="286"/>
      <c r="BY18" s="286"/>
      <c r="BZ18" s="286"/>
      <c r="CA18" s="286"/>
      <c r="CB18" s="286"/>
      <c r="CC18" s="286"/>
      <c r="CD18" s="286"/>
      <c r="CE18" s="286"/>
    </row>
    <row r="19" spans="1:83" s="281" customFormat="1" ht="12">
      <c r="A19" s="316"/>
      <c r="B19" s="317">
        <v>3</v>
      </c>
      <c r="C19" s="316" t="s">
        <v>608</v>
      </c>
      <c r="D19" s="281" t="s">
        <v>566</v>
      </c>
      <c r="E19" s="284">
        <v>9.0299999999999994</v>
      </c>
      <c r="F19" s="285" t="s">
        <v>567</v>
      </c>
      <c r="G19" s="285"/>
      <c r="H19" s="286">
        <v>2.9</v>
      </c>
      <c r="I19" s="284">
        <f t="shared" ref="I19:I24" si="16">+E19</f>
        <v>9.0299999999999994</v>
      </c>
      <c r="J19" s="285">
        <f t="shared" ref="J19:J24" si="17">+E19</f>
        <v>9.0299999999999994</v>
      </c>
      <c r="K19" s="285">
        <f>4.2+2.15+3+1.12</f>
        <v>10.469999999999999</v>
      </c>
      <c r="L19" s="286"/>
      <c r="M19" s="286"/>
      <c r="N19" s="286"/>
      <c r="O19" s="286"/>
      <c r="P19" s="286"/>
      <c r="Q19" s="286">
        <f>4.2*H19</f>
        <v>12.18</v>
      </c>
      <c r="R19" s="286"/>
      <c r="S19" s="286"/>
      <c r="T19" s="286"/>
      <c r="U19" s="286"/>
      <c r="V19" s="286" t="s">
        <v>575</v>
      </c>
      <c r="W19" s="286">
        <v>1</v>
      </c>
      <c r="X19" s="286"/>
      <c r="Y19" s="286"/>
      <c r="Z19" s="286"/>
      <c r="AA19" s="286"/>
      <c r="AB19" s="286"/>
      <c r="AC19" s="286"/>
      <c r="AD19" s="286"/>
      <c r="AE19" s="287">
        <v>7.99</v>
      </c>
      <c r="AF19" s="281" t="s">
        <v>606</v>
      </c>
      <c r="AH19" s="286">
        <v>2.9</v>
      </c>
      <c r="AI19" s="284">
        <f t="shared" si="15"/>
        <v>7.99</v>
      </c>
      <c r="AJ19" s="285"/>
      <c r="AK19" s="285"/>
      <c r="AL19" s="288"/>
      <c r="AM19" s="289"/>
      <c r="AN19" s="289"/>
      <c r="AO19" s="289"/>
      <c r="AP19" s="289"/>
      <c r="AQ19" s="289"/>
      <c r="AR19" s="289"/>
      <c r="AS19" s="289">
        <f t="shared" ref="AS19:AS23" si="18">+AE19</f>
        <v>7.99</v>
      </c>
      <c r="AT19" s="290"/>
      <c r="AU19" s="285"/>
      <c r="AV19" s="285"/>
      <c r="AW19" s="286"/>
      <c r="AX19" s="286"/>
      <c r="AY19" s="286"/>
      <c r="AZ19" s="286"/>
      <c r="BA19" s="286"/>
      <c r="BB19" s="286"/>
      <c r="BC19" s="286"/>
      <c r="BD19" s="286"/>
      <c r="BE19" s="288"/>
      <c r="BF19" s="289"/>
      <c r="BG19" s="285"/>
      <c r="BH19" s="285"/>
      <c r="BI19" s="286"/>
      <c r="BJ19" s="286"/>
      <c r="BK19" s="286"/>
      <c r="BL19" s="286"/>
      <c r="BM19" s="286"/>
      <c r="BN19" s="286"/>
      <c r="BO19" s="286"/>
      <c r="BP19" s="286"/>
      <c r="BQ19" s="286" t="s">
        <v>728</v>
      </c>
      <c r="BR19" s="286"/>
      <c r="BS19" s="286"/>
      <c r="BT19" s="286"/>
      <c r="BU19" s="286"/>
      <c r="BV19" s="286"/>
      <c r="BW19" s="286"/>
      <c r="BX19" s="286"/>
      <c r="BY19" s="286"/>
      <c r="BZ19" s="286"/>
      <c r="CA19" s="286"/>
      <c r="CB19" s="286"/>
      <c r="CC19" s="286"/>
      <c r="CD19" s="286"/>
      <c r="CE19" s="286"/>
    </row>
    <row r="20" spans="1:83" s="281" customFormat="1" ht="12">
      <c r="A20" s="316"/>
      <c r="B20" s="317">
        <v>4</v>
      </c>
      <c r="C20" s="316" t="s">
        <v>609</v>
      </c>
      <c r="D20" s="281" t="s">
        <v>566</v>
      </c>
      <c r="E20" s="284">
        <v>4.7300000000000004</v>
      </c>
      <c r="F20" s="285" t="s">
        <v>567</v>
      </c>
      <c r="G20" s="285"/>
      <c r="H20" s="286">
        <v>2.9</v>
      </c>
      <c r="I20" s="284">
        <f t="shared" si="16"/>
        <v>4.7300000000000004</v>
      </c>
      <c r="J20" s="285">
        <f t="shared" si="17"/>
        <v>4.7300000000000004</v>
      </c>
      <c r="K20" s="285">
        <f>2.2+2.15+2.2+1.12</f>
        <v>7.67</v>
      </c>
      <c r="L20" s="286"/>
      <c r="M20" s="286"/>
      <c r="N20" s="286"/>
      <c r="O20" s="286"/>
      <c r="P20" s="286"/>
      <c r="Q20" s="286">
        <f>+(2.1+2.2)*H20</f>
        <v>12.470000000000002</v>
      </c>
      <c r="R20" s="286"/>
      <c r="S20" s="286"/>
      <c r="T20" s="286"/>
      <c r="U20" s="286"/>
      <c r="V20" s="286" t="s">
        <v>575</v>
      </c>
      <c r="W20" s="286"/>
      <c r="X20" s="286"/>
      <c r="Y20" s="286"/>
      <c r="Z20" s="286"/>
      <c r="AA20" s="286"/>
      <c r="AB20" s="286"/>
      <c r="AC20" s="286"/>
      <c r="AD20" s="286"/>
      <c r="AE20" s="287">
        <v>5.55</v>
      </c>
      <c r="AF20" s="281" t="s">
        <v>606</v>
      </c>
      <c r="AH20" s="286"/>
      <c r="AI20" s="284">
        <f t="shared" si="15"/>
        <v>5.55</v>
      </c>
      <c r="AJ20" s="285"/>
      <c r="AK20" s="285"/>
      <c r="AL20" s="288"/>
      <c r="AM20" s="289"/>
      <c r="AN20" s="289"/>
      <c r="AO20" s="289"/>
      <c r="AP20" s="289"/>
      <c r="AQ20" s="289"/>
      <c r="AR20" s="289"/>
      <c r="AS20" s="289">
        <f t="shared" si="18"/>
        <v>5.55</v>
      </c>
      <c r="AT20" s="290"/>
      <c r="AU20" s="285"/>
      <c r="AV20" s="285"/>
      <c r="AW20" s="286"/>
      <c r="AX20" s="286"/>
      <c r="AY20" s="286"/>
      <c r="AZ20" s="286"/>
      <c r="BA20" s="286"/>
      <c r="BB20" s="286"/>
      <c r="BC20" s="286"/>
      <c r="BD20" s="286"/>
      <c r="BE20" s="288"/>
      <c r="BF20" s="289"/>
      <c r="BG20" s="285"/>
      <c r="BH20" s="285"/>
      <c r="BI20" s="286"/>
      <c r="BJ20" s="286"/>
      <c r="BK20" s="286"/>
      <c r="BL20" s="286"/>
      <c r="BM20" s="286"/>
      <c r="BN20" s="286"/>
      <c r="BO20" s="286"/>
      <c r="BP20" s="286" t="s">
        <v>732</v>
      </c>
      <c r="BQ20" s="286"/>
      <c r="BR20" s="286"/>
      <c r="BS20" s="286"/>
      <c r="BT20" s="286"/>
      <c r="BU20" s="286"/>
      <c r="BV20" s="286"/>
      <c r="BW20" s="286"/>
      <c r="BX20" s="286"/>
      <c r="BY20" s="286"/>
      <c r="BZ20" s="286"/>
      <c r="CA20" s="286"/>
      <c r="CB20" s="286"/>
      <c r="CC20" s="286"/>
      <c r="CD20" s="286"/>
      <c r="CE20" s="286"/>
    </row>
    <row r="21" spans="1:83" s="281" customFormat="1" ht="12">
      <c r="A21" s="316"/>
      <c r="B21" s="317">
        <v>5</v>
      </c>
      <c r="C21" s="316" t="s">
        <v>610</v>
      </c>
      <c r="D21" s="281" t="s">
        <v>566</v>
      </c>
      <c r="E21" s="284">
        <v>2.5</v>
      </c>
      <c r="F21" s="285" t="s">
        <v>567</v>
      </c>
      <c r="G21" s="285"/>
      <c r="H21" s="286">
        <v>2.9</v>
      </c>
      <c r="I21" s="284">
        <f t="shared" si="16"/>
        <v>2.5</v>
      </c>
      <c r="J21" s="285">
        <f t="shared" si="17"/>
        <v>2.5</v>
      </c>
      <c r="K21" s="285">
        <v>3</v>
      </c>
      <c r="L21" s="286"/>
      <c r="M21" s="286"/>
      <c r="N21" s="286"/>
      <c r="O21" s="286"/>
      <c r="P21" s="286"/>
      <c r="Q21" s="286"/>
      <c r="R21" s="286"/>
      <c r="S21" s="286"/>
      <c r="T21" s="286"/>
      <c r="U21" s="286"/>
      <c r="V21" s="286" t="s">
        <v>724</v>
      </c>
      <c r="W21" s="286"/>
      <c r="X21" s="286"/>
      <c r="Y21" s="286"/>
      <c r="Z21" s="286"/>
      <c r="AA21" s="286"/>
      <c r="AB21" s="286"/>
      <c r="AC21" s="286"/>
      <c r="AD21" s="286"/>
      <c r="AE21" s="287">
        <v>14.65</v>
      </c>
      <c r="AF21" s="281" t="s">
        <v>606</v>
      </c>
      <c r="AH21" s="286"/>
      <c r="AI21" s="284">
        <f t="shared" si="15"/>
        <v>14.65</v>
      </c>
      <c r="AJ21" s="285"/>
      <c r="AK21" s="285"/>
      <c r="AL21" s="288"/>
      <c r="AM21" s="289"/>
      <c r="AN21" s="289"/>
      <c r="AO21" s="289"/>
      <c r="AP21" s="289"/>
      <c r="AQ21" s="289"/>
      <c r="AR21" s="289"/>
      <c r="AS21" s="289">
        <f t="shared" si="18"/>
        <v>14.65</v>
      </c>
      <c r="AT21" s="290"/>
      <c r="AU21" s="285"/>
      <c r="AV21" s="285"/>
      <c r="AW21" s="286"/>
      <c r="AX21" s="286"/>
      <c r="AY21" s="286"/>
      <c r="AZ21" s="286"/>
      <c r="BA21" s="286"/>
      <c r="BB21" s="286"/>
      <c r="BC21" s="286"/>
      <c r="BD21" s="286"/>
      <c r="BE21" s="288"/>
      <c r="BF21" s="289"/>
      <c r="BG21" s="285"/>
      <c r="BH21" s="285"/>
      <c r="BI21" s="286"/>
      <c r="BJ21" s="286"/>
      <c r="BK21" s="286"/>
      <c r="BL21" s="286"/>
      <c r="BM21" s="286"/>
      <c r="BN21" s="286"/>
      <c r="BO21" s="286"/>
      <c r="BP21" s="286" t="s">
        <v>744</v>
      </c>
      <c r="BQ21" s="286" t="s">
        <v>742</v>
      </c>
      <c r="BR21" s="286"/>
      <c r="BS21" s="286"/>
      <c r="BT21" s="286"/>
      <c r="BU21" s="286"/>
      <c r="BV21" s="286"/>
      <c r="BW21" s="286"/>
      <c r="BX21" s="286"/>
      <c r="BY21" s="286"/>
      <c r="BZ21" s="286"/>
      <c r="CA21" s="286"/>
      <c r="CB21" s="286"/>
      <c r="CC21" s="286"/>
      <c r="CD21" s="286"/>
      <c r="CE21" s="286"/>
    </row>
    <row r="22" spans="1:83" s="281" customFormat="1" ht="12">
      <c r="A22" s="316"/>
      <c r="B22" s="317">
        <v>6</v>
      </c>
      <c r="C22" s="316" t="s">
        <v>611</v>
      </c>
      <c r="D22" s="281" t="s">
        <v>719</v>
      </c>
      <c r="E22" s="284">
        <v>20.63</v>
      </c>
      <c r="F22" s="285" t="s">
        <v>567</v>
      </c>
      <c r="G22" s="285"/>
      <c r="H22" s="286">
        <v>2.9</v>
      </c>
      <c r="I22" s="284">
        <f t="shared" si="16"/>
        <v>20.63</v>
      </c>
      <c r="J22" s="285">
        <f t="shared" si="17"/>
        <v>20.63</v>
      </c>
      <c r="K22" s="285">
        <f>0.75+0.7+5.5+3.75+0.7+0.5</f>
        <v>11.899999999999999</v>
      </c>
      <c r="L22" s="286"/>
      <c r="M22" s="286"/>
      <c r="N22" s="286"/>
      <c r="O22" s="286">
        <f>7.65*1*0.25*2.29</f>
        <v>4.3796249999999999</v>
      </c>
      <c r="P22" s="286"/>
      <c r="Q22" s="286"/>
      <c r="R22" s="286"/>
      <c r="S22" s="286"/>
      <c r="T22" s="286">
        <f>3.75*2.5+3.5*1.5</f>
        <v>14.625</v>
      </c>
      <c r="U22" s="286" t="s">
        <v>730</v>
      </c>
      <c r="V22" s="286"/>
      <c r="W22" s="286"/>
      <c r="X22" s="286"/>
      <c r="Y22" s="286"/>
      <c r="Z22" s="286"/>
      <c r="AA22" s="286"/>
      <c r="AB22" s="286"/>
      <c r="AC22" s="286"/>
      <c r="AD22" s="286"/>
      <c r="AE22" s="287">
        <v>3.96</v>
      </c>
      <c r="AF22" s="281" t="s">
        <v>606</v>
      </c>
      <c r="AH22" s="286"/>
      <c r="AI22" s="284">
        <f t="shared" si="15"/>
        <v>3.96</v>
      </c>
      <c r="AJ22" s="285"/>
      <c r="AK22" s="285"/>
      <c r="AL22" s="288"/>
      <c r="AM22" s="289"/>
      <c r="AN22" s="289"/>
      <c r="AO22" s="289"/>
      <c r="AP22" s="289"/>
      <c r="AQ22" s="289"/>
      <c r="AR22" s="289"/>
      <c r="AS22" s="289">
        <f t="shared" si="18"/>
        <v>3.96</v>
      </c>
      <c r="AT22" s="290"/>
      <c r="AU22" s="285"/>
      <c r="AV22" s="285"/>
      <c r="AW22" s="286"/>
      <c r="AX22" s="286"/>
      <c r="AY22" s="286"/>
      <c r="AZ22" s="286"/>
      <c r="BA22" s="286"/>
      <c r="BB22" s="286"/>
      <c r="BC22" s="286"/>
      <c r="BD22" s="286"/>
      <c r="BE22" s="288"/>
      <c r="BF22" s="289"/>
      <c r="BG22" s="285"/>
      <c r="BH22" s="285"/>
      <c r="BI22" s="286"/>
      <c r="BJ22" s="286"/>
      <c r="BK22" s="286"/>
      <c r="BL22" s="286"/>
      <c r="BM22" s="286"/>
      <c r="BN22" s="286"/>
      <c r="BO22" s="286"/>
      <c r="BP22" s="286" t="s">
        <v>575</v>
      </c>
      <c r="BQ22" s="286"/>
      <c r="BR22" s="286"/>
      <c r="BS22" s="286"/>
      <c r="BT22" s="286"/>
      <c r="BU22" s="286"/>
      <c r="BV22" s="286"/>
      <c r="BW22" s="286"/>
      <c r="BX22" s="286"/>
      <c r="BY22" s="286"/>
      <c r="BZ22" s="286"/>
      <c r="CA22" s="286"/>
      <c r="CB22" s="286"/>
      <c r="CC22" s="286"/>
      <c r="CD22" s="286"/>
      <c r="CE22" s="286"/>
    </row>
    <row r="23" spans="1:83" s="281" customFormat="1" ht="12">
      <c r="A23" s="316"/>
      <c r="B23" s="317">
        <v>7</v>
      </c>
      <c r="C23" s="316" t="s">
        <v>612</v>
      </c>
      <c r="D23" s="281" t="s">
        <v>720</v>
      </c>
      <c r="E23" s="284">
        <v>76.209999999999994</v>
      </c>
      <c r="F23" s="285" t="s">
        <v>567</v>
      </c>
      <c r="G23" s="285"/>
      <c r="H23" s="286">
        <v>3.92</v>
      </c>
      <c r="I23" s="284">
        <f t="shared" si="16"/>
        <v>76.209999999999994</v>
      </c>
      <c r="J23" s="285"/>
      <c r="K23" s="285"/>
      <c r="L23" s="286"/>
      <c r="M23" s="286">
        <f>+E23</f>
        <v>76.209999999999994</v>
      </c>
      <c r="N23" s="286"/>
      <c r="O23" s="286">
        <f>1.1*H23</f>
        <v>4.3120000000000003</v>
      </c>
      <c r="P23" s="286"/>
      <c r="Q23" s="286"/>
      <c r="R23" s="286"/>
      <c r="S23" s="286"/>
      <c r="T23" s="286"/>
      <c r="U23" s="286"/>
      <c r="V23" s="286" t="s">
        <v>731</v>
      </c>
      <c r="W23" s="286"/>
      <c r="X23" s="286"/>
      <c r="Y23" s="286"/>
      <c r="Z23" s="286"/>
      <c r="AA23" s="286"/>
      <c r="AB23" s="286"/>
      <c r="AC23" s="286"/>
      <c r="AD23" s="286"/>
      <c r="AE23" s="287">
        <v>3.1</v>
      </c>
      <c r="AF23" s="281" t="s">
        <v>606</v>
      </c>
      <c r="AH23" s="286"/>
      <c r="AI23" s="284">
        <f t="shared" si="15"/>
        <v>3.1</v>
      </c>
      <c r="AJ23" s="285"/>
      <c r="AK23" s="285"/>
      <c r="AL23" s="288"/>
      <c r="AM23" s="289"/>
      <c r="AN23" s="289"/>
      <c r="AO23" s="289"/>
      <c r="AP23" s="289"/>
      <c r="AQ23" s="289"/>
      <c r="AR23" s="289"/>
      <c r="AS23" s="289">
        <f t="shared" si="18"/>
        <v>3.1</v>
      </c>
      <c r="AT23" s="290"/>
      <c r="AU23" s="285"/>
      <c r="AV23" s="285"/>
      <c r="AW23" s="286"/>
      <c r="AX23" s="286"/>
      <c r="AY23" s="286"/>
      <c r="AZ23" s="286"/>
      <c r="BA23" s="286"/>
      <c r="BB23" s="286"/>
      <c r="BC23" s="286"/>
      <c r="BD23" s="286"/>
      <c r="BE23" s="288"/>
      <c r="BF23" s="289"/>
      <c r="BG23" s="285"/>
      <c r="BH23" s="285"/>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row>
    <row r="24" spans="1:83" s="281" customFormat="1" ht="12">
      <c r="A24" s="316"/>
      <c r="B24" s="317">
        <v>8</v>
      </c>
      <c r="C24" s="316" t="s">
        <v>613</v>
      </c>
      <c r="D24" s="281" t="s">
        <v>721</v>
      </c>
      <c r="E24" s="284">
        <v>9.5399999999999991</v>
      </c>
      <c r="F24" s="285" t="s">
        <v>567</v>
      </c>
      <c r="G24" s="285"/>
      <c r="H24" s="286">
        <v>2.9</v>
      </c>
      <c r="I24" s="284">
        <f t="shared" si="16"/>
        <v>9.5399999999999991</v>
      </c>
      <c r="J24" s="285">
        <f t="shared" si="17"/>
        <v>9.5399999999999991</v>
      </c>
      <c r="K24" s="285">
        <v>13.2</v>
      </c>
      <c r="L24" s="286"/>
      <c r="M24" s="286"/>
      <c r="N24" s="286">
        <f>+(5.37+1.87)*H24</f>
        <v>20.995999999999999</v>
      </c>
      <c r="O24" s="286"/>
      <c r="P24" s="286"/>
      <c r="Q24" s="286"/>
      <c r="R24" s="286"/>
      <c r="S24" s="286"/>
      <c r="T24" s="286"/>
      <c r="U24" s="286" t="s">
        <v>733</v>
      </c>
      <c r="V24" s="286" t="s">
        <v>732</v>
      </c>
      <c r="W24" s="286"/>
      <c r="X24" s="286"/>
      <c r="Y24" s="286"/>
      <c r="Z24" s="286"/>
      <c r="AA24" s="286"/>
      <c r="AB24" s="286"/>
      <c r="AC24" s="286"/>
      <c r="AD24" s="286"/>
      <c r="AE24" s="287">
        <v>5.07</v>
      </c>
      <c r="AF24" s="281" t="s">
        <v>565</v>
      </c>
      <c r="AH24" s="286"/>
      <c r="AI24" s="284">
        <f t="shared" si="15"/>
        <v>5.07</v>
      </c>
      <c r="AJ24" s="285"/>
      <c r="AK24" s="285"/>
      <c r="AL24" s="288"/>
      <c r="AM24" s="289"/>
      <c r="AN24" s="289"/>
      <c r="AO24" s="289">
        <f>+AE24</f>
        <v>5.07</v>
      </c>
      <c r="AP24" s="289"/>
      <c r="AQ24" s="289"/>
      <c r="AR24" s="289"/>
      <c r="AS24" s="289"/>
      <c r="AT24" s="290"/>
      <c r="AU24" s="285"/>
      <c r="AV24" s="285"/>
      <c r="AW24" s="286"/>
      <c r="AX24" s="286"/>
      <c r="AY24" s="286"/>
      <c r="AZ24" s="286"/>
      <c r="BA24" s="286"/>
      <c r="BB24" s="286"/>
      <c r="BC24" s="286"/>
      <c r="BD24" s="286"/>
      <c r="BE24" s="288"/>
      <c r="BF24" s="289"/>
      <c r="BG24" s="285"/>
      <c r="BH24" s="285"/>
      <c r="BI24" s="286"/>
      <c r="BJ24" s="286"/>
      <c r="BK24" s="286"/>
      <c r="BL24" s="286"/>
      <c r="BM24" s="286"/>
      <c r="BN24" s="286"/>
      <c r="BO24" s="286"/>
      <c r="BP24" s="286" t="s">
        <v>570</v>
      </c>
      <c r="BQ24" s="286"/>
      <c r="BR24" s="286"/>
      <c r="BS24" s="286"/>
      <c r="BT24" s="286"/>
      <c r="BU24" s="286"/>
      <c r="BV24" s="286"/>
      <c r="BW24" s="286"/>
      <c r="BX24" s="286"/>
      <c r="BY24" s="286"/>
      <c r="BZ24" s="286"/>
      <c r="CA24" s="286"/>
      <c r="CB24" s="286"/>
      <c r="CC24" s="286"/>
      <c r="CD24" s="286"/>
      <c r="CE24" s="286"/>
    </row>
    <row r="25" spans="1:83" s="281" customFormat="1" ht="12">
      <c r="A25" s="316"/>
      <c r="B25" s="317">
        <v>9</v>
      </c>
      <c r="C25" s="316" t="s">
        <v>614</v>
      </c>
      <c r="E25" s="284"/>
      <c r="F25" s="285"/>
      <c r="G25" s="285"/>
      <c r="H25" s="286"/>
      <c r="I25" s="284"/>
      <c r="J25" s="285"/>
      <c r="K25" s="285"/>
      <c r="L25" s="286"/>
      <c r="M25" s="286"/>
      <c r="N25" s="286"/>
      <c r="O25" s="286"/>
      <c r="P25" s="286"/>
      <c r="Q25" s="286"/>
      <c r="R25" s="286"/>
      <c r="S25" s="286"/>
      <c r="T25" s="286"/>
      <c r="U25" s="286"/>
      <c r="V25" s="286"/>
      <c r="W25" s="286"/>
      <c r="X25" s="286"/>
      <c r="Y25" s="286"/>
      <c r="Z25" s="286"/>
      <c r="AA25" s="286"/>
      <c r="AB25" s="286"/>
      <c r="AC25" s="286"/>
      <c r="AD25" s="286"/>
      <c r="AE25" s="287">
        <v>4.7</v>
      </c>
      <c r="AF25" s="281" t="s">
        <v>565</v>
      </c>
      <c r="AH25" s="286"/>
      <c r="AI25" s="284">
        <f t="shared" si="15"/>
        <v>4.7</v>
      </c>
      <c r="AJ25" s="285"/>
      <c r="AK25" s="285"/>
      <c r="AL25" s="288">
        <f>+AE25</f>
        <v>4.7</v>
      </c>
      <c r="AM25" s="289"/>
      <c r="AN25" s="289"/>
      <c r="AO25" s="289"/>
      <c r="AP25" s="289"/>
      <c r="AQ25" s="289"/>
      <c r="AR25" s="289"/>
      <c r="AS25" s="289"/>
      <c r="AT25" s="290"/>
      <c r="AU25" s="285"/>
      <c r="AV25" s="285"/>
      <c r="AW25" s="286"/>
      <c r="AX25" s="286"/>
      <c r="AY25" s="286"/>
      <c r="AZ25" s="286"/>
      <c r="BA25" s="286"/>
      <c r="BB25" s="286"/>
      <c r="BC25" s="286"/>
      <c r="BD25" s="286"/>
      <c r="BE25" s="288"/>
      <c r="BF25" s="289"/>
      <c r="BG25" s="285"/>
      <c r="BH25" s="285"/>
      <c r="BI25" s="286"/>
      <c r="BJ25" s="286"/>
      <c r="BK25" s="286"/>
      <c r="BL25" s="286"/>
      <c r="BM25" s="286"/>
      <c r="BN25" s="286"/>
      <c r="BO25" s="286"/>
      <c r="BP25" s="286" t="s">
        <v>743</v>
      </c>
      <c r="BQ25" s="286"/>
      <c r="BR25" s="286"/>
      <c r="BS25" s="286"/>
      <c r="BT25" s="286"/>
      <c r="BU25" s="286"/>
      <c r="BV25" s="286"/>
      <c r="BW25" s="286"/>
      <c r="BX25" s="286"/>
      <c r="BY25" s="286"/>
      <c r="BZ25" s="286"/>
      <c r="CA25" s="286"/>
      <c r="CB25" s="286"/>
      <c r="CC25" s="286"/>
      <c r="CD25" s="286"/>
      <c r="CE25" s="286"/>
    </row>
    <row r="26" spans="1:83" s="281" customFormat="1" ht="12">
      <c r="A26" s="316"/>
      <c r="B26" s="317">
        <v>10</v>
      </c>
      <c r="C26" s="316" t="s">
        <v>615</v>
      </c>
      <c r="E26" s="284"/>
      <c r="F26" s="285"/>
      <c r="G26" s="285"/>
      <c r="H26" s="286"/>
      <c r="I26" s="284"/>
      <c r="J26" s="285"/>
      <c r="K26" s="285"/>
      <c r="L26" s="286"/>
      <c r="M26" s="286"/>
      <c r="N26" s="286"/>
      <c r="O26" s="286"/>
      <c r="P26" s="286"/>
      <c r="Q26" s="286"/>
      <c r="R26" s="286"/>
      <c r="S26" s="286"/>
      <c r="T26" s="286"/>
      <c r="U26" s="286"/>
      <c r="V26" s="286"/>
      <c r="W26" s="286"/>
      <c r="X26" s="286"/>
      <c r="Y26" s="286"/>
      <c r="Z26" s="286"/>
      <c r="AA26" s="286"/>
      <c r="AB26" s="286"/>
      <c r="AC26" s="286"/>
      <c r="AD26" s="286"/>
      <c r="AE26" s="287">
        <v>2.99</v>
      </c>
      <c r="AF26" s="281" t="s">
        <v>565</v>
      </c>
      <c r="AH26" s="286"/>
      <c r="AI26" s="284">
        <f t="shared" si="15"/>
        <v>2.99</v>
      </c>
      <c r="AJ26" s="285"/>
      <c r="AK26" s="285"/>
      <c r="AL26" s="288">
        <f>+AE26</f>
        <v>2.99</v>
      </c>
      <c r="AM26" s="289"/>
      <c r="AN26" s="289"/>
      <c r="AO26" s="289"/>
      <c r="AP26" s="289"/>
      <c r="AQ26" s="289"/>
      <c r="AR26" s="289"/>
      <c r="AS26" s="289"/>
      <c r="AT26" s="290"/>
      <c r="AU26" s="285"/>
      <c r="AV26" s="285"/>
      <c r="AW26" s="286"/>
      <c r="AX26" s="286"/>
      <c r="AY26" s="286"/>
      <c r="AZ26" s="286"/>
      <c r="BA26" s="286"/>
      <c r="BB26" s="286"/>
      <c r="BC26" s="286"/>
      <c r="BD26" s="286"/>
      <c r="BE26" s="288"/>
      <c r="BF26" s="289"/>
      <c r="BG26" s="285"/>
      <c r="BH26" s="285"/>
      <c r="BI26" s="286"/>
      <c r="BJ26" s="286"/>
      <c r="BK26" s="286"/>
      <c r="BL26" s="286"/>
      <c r="BM26" s="286"/>
      <c r="BN26" s="286"/>
      <c r="BO26" s="286"/>
      <c r="BP26" s="286" t="s">
        <v>743</v>
      </c>
      <c r="BQ26" s="286"/>
      <c r="BR26" s="286"/>
      <c r="BS26" s="286"/>
      <c r="BT26" s="286"/>
      <c r="BU26" s="286"/>
      <c r="BV26" s="286"/>
      <c r="BW26" s="286"/>
      <c r="BX26" s="286"/>
      <c r="BY26" s="286"/>
      <c r="BZ26" s="286"/>
      <c r="CA26" s="286"/>
      <c r="CB26" s="286"/>
      <c r="CC26" s="286"/>
      <c r="CD26" s="286"/>
      <c r="CE26" s="286"/>
    </row>
    <row r="27" spans="1:83" s="281" customFormat="1" ht="12">
      <c r="A27" s="316"/>
      <c r="B27" s="317">
        <v>11</v>
      </c>
      <c r="C27" s="316" t="s">
        <v>566</v>
      </c>
      <c r="E27" s="284"/>
      <c r="F27" s="285"/>
      <c r="G27" s="285"/>
      <c r="H27" s="286"/>
      <c r="I27" s="284"/>
      <c r="J27" s="285"/>
      <c r="K27" s="285"/>
      <c r="L27" s="286"/>
      <c r="M27" s="286"/>
      <c r="N27" s="286"/>
      <c r="O27" s="286"/>
      <c r="P27" s="286"/>
      <c r="Q27" s="286"/>
      <c r="R27" s="286"/>
      <c r="S27" s="286"/>
      <c r="T27" s="286"/>
      <c r="U27" s="286"/>
      <c r="V27" s="286"/>
      <c r="W27" s="286"/>
      <c r="X27" s="286"/>
      <c r="Y27" s="286"/>
      <c r="Z27" s="286"/>
      <c r="AA27" s="286">
        <v>5.6</v>
      </c>
      <c r="AB27" s="286"/>
      <c r="AC27" s="286"/>
      <c r="AD27" s="286"/>
      <c r="AE27" s="287">
        <v>5.42</v>
      </c>
      <c r="AF27" s="281" t="s">
        <v>565</v>
      </c>
      <c r="AH27" s="286"/>
      <c r="AI27" s="284">
        <f t="shared" si="15"/>
        <v>5.42</v>
      </c>
      <c r="AJ27" s="285"/>
      <c r="AK27" s="285"/>
      <c r="AL27" s="288"/>
      <c r="AM27" s="289"/>
      <c r="AN27" s="289"/>
      <c r="AO27" s="289"/>
      <c r="AP27" s="289"/>
      <c r="AQ27" s="289">
        <f>+AE27</f>
        <v>5.42</v>
      </c>
      <c r="AR27" s="289"/>
      <c r="AS27" s="289"/>
      <c r="AT27" s="290"/>
      <c r="AU27" s="285"/>
      <c r="AV27" s="285"/>
      <c r="AW27" s="286"/>
      <c r="AX27" s="286"/>
      <c r="AY27" s="286"/>
      <c r="AZ27" s="286"/>
      <c r="BA27" s="286"/>
      <c r="BB27" s="286"/>
      <c r="BC27" s="286"/>
      <c r="BD27" s="286"/>
      <c r="BE27" s="288"/>
      <c r="BF27" s="289"/>
      <c r="BG27" s="285"/>
      <c r="BH27" s="285"/>
      <c r="BI27" s="286"/>
      <c r="BJ27" s="286"/>
      <c r="BK27" s="286"/>
      <c r="BL27" s="286"/>
      <c r="BM27" s="286"/>
      <c r="BN27" s="286"/>
      <c r="BO27" s="286"/>
      <c r="BP27" s="286" t="s">
        <v>724</v>
      </c>
      <c r="BQ27" s="286"/>
      <c r="BR27" s="286"/>
      <c r="BS27" s="286"/>
      <c r="BT27" s="286"/>
      <c r="BU27" s="286"/>
      <c r="BV27" s="286"/>
      <c r="BW27" s="286"/>
      <c r="BX27" s="286"/>
      <c r="BY27" s="286"/>
      <c r="BZ27" s="286"/>
      <c r="CA27" s="286"/>
      <c r="CB27" s="286"/>
      <c r="CC27" s="286"/>
      <c r="CD27" s="286"/>
      <c r="CE27" s="286"/>
    </row>
    <row r="28" spans="1:83" s="281" customFormat="1" ht="12">
      <c r="A28" s="316"/>
      <c r="B28" s="317">
        <v>12</v>
      </c>
      <c r="C28" s="316" t="s">
        <v>616</v>
      </c>
      <c r="E28" s="284"/>
      <c r="F28" s="285"/>
      <c r="G28" s="285"/>
      <c r="H28" s="286"/>
      <c r="I28" s="284"/>
      <c r="J28" s="285"/>
      <c r="K28" s="285"/>
      <c r="L28" s="286"/>
      <c r="M28" s="286"/>
      <c r="N28" s="286"/>
      <c r="O28" s="286"/>
      <c r="P28" s="286"/>
      <c r="Q28" s="286"/>
      <c r="R28" s="286"/>
      <c r="S28" s="286"/>
      <c r="T28" s="286"/>
      <c r="U28" s="286"/>
      <c r="V28" s="286"/>
      <c r="W28" s="286"/>
      <c r="X28" s="286"/>
      <c r="Y28" s="286"/>
      <c r="Z28" s="286"/>
      <c r="AA28" s="286"/>
      <c r="AB28" s="286"/>
      <c r="AC28" s="286"/>
      <c r="AD28" s="286"/>
      <c r="AE28" s="287">
        <v>12.9</v>
      </c>
      <c r="AF28" s="281" t="s">
        <v>617</v>
      </c>
      <c r="AH28" s="286"/>
      <c r="AI28" s="284">
        <f t="shared" ref="AI28" si="19">+AE28</f>
        <v>12.9</v>
      </c>
      <c r="AJ28" s="285"/>
      <c r="AK28" s="285"/>
      <c r="AL28" s="288"/>
      <c r="AM28" s="289"/>
      <c r="AN28" s="289"/>
      <c r="AO28" s="289"/>
      <c r="AP28" s="289"/>
      <c r="AQ28" s="289"/>
      <c r="AR28" s="289"/>
      <c r="AS28" s="289"/>
      <c r="AT28" s="290">
        <f>+AE28</f>
        <v>12.9</v>
      </c>
      <c r="AU28" s="285"/>
      <c r="AV28" s="285"/>
      <c r="AW28" s="286"/>
      <c r="AX28" s="286"/>
      <c r="AY28" s="286"/>
      <c r="AZ28" s="286"/>
      <c r="BA28" s="286"/>
      <c r="BB28" s="286"/>
      <c r="BC28" s="286"/>
      <c r="BD28" s="286"/>
      <c r="BE28" s="288"/>
      <c r="BF28" s="289"/>
      <c r="BG28" s="285"/>
      <c r="BH28" s="285"/>
      <c r="BI28" s="286"/>
      <c r="BJ28" s="286"/>
      <c r="BK28" s="286"/>
      <c r="BL28" s="286"/>
      <c r="BM28" s="286"/>
      <c r="BN28" s="286"/>
      <c r="BO28" s="286"/>
      <c r="BP28" s="281" t="s">
        <v>745</v>
      </c>
      <c r="BQ28" s="286" t="s">
        <v>746</v>
      </c>
      <c r="BR28" s="286"/>
      <c r="BS28" s="286"/>
      <c r="BT28" s="286"/>
      <c r="BU28" s="286"/>
      <c r="BV28" s="286"/>
      <c r="BW28" s="286"/>
      <c r="BX28" s="286"/>
      <c r="BY28" s="286"/>
      <c r="BZ28" s="286"/>
      <c r="CA28" s="286"/>
      <c r="CB28" s="286"/>
      <c r="CC28" s="286"/>
      <c r="CD28" s="286"/>
      <c r="CE28" s="286"/>
    </row>
    <row r="29" spans="1:83" s="281" customFormat="1" ht="12">
      <c r="A29" s="316"/>
      <c r="B29" s="317">
        <v>13</v>
      </c>
      <c r="C29" s="316" t="s">
        <v>720</v>
      </c>
      <c r="E29" s="284"/>
      <c r="F29" s="285"/>
      <c r="G29" s="285"/>
      <c r="H29" s="286"/>
      <c r="I29" s="284"/>
      <c r="J29" s="285"/>
      <c r="K29" s="285"/>
      <c r="L29" s="286"/>
      <c r="M29" s="286"/>
      <c r="N29" s="286"/>
      <c r="O29" s="286"/>
      <c r="P29" s="286"/>
      <c r="Q29" s="286"/>
      <c r="R29" s="286"/>
      <c r="S29" s="286"/>
      <c r="T29" s="286"/>
      <c r="U29" s="286"/>
      <c r="V29" s="286"/>
      <c r="W29" s="286"/>
      <c r="X29" s="286"/>
      <c r="Y29" s="286"/>
      <c r="Z29" s="286"/>
      <c r="AA29" s="286">
        <v>3</v>
      </c>
      <c r="AB29" s="286"/>
      <c r="AC29" s="286"/>
      <c r="AD29" s="286"/>
      <c r="AE29" s="287">
        <v>72.22</v>
      </c>
      <c r="AF29" s="281" t="s">
        <v>617</v>
      </c>
      <c r="AH29" s="286"/>
      <c r="AI29" s="284">
        <f t="shared" si="15"/>
        <v>72.22</v>
      </c>
      <c r="AJ29" s="285"/>
      <c r="AK29" s="285"/>
      <c r="AL29" s="288"/>
      <c r="AM29" s="289"/>
      <c r="AN29" s="289"/>
      <c r="AO29" s="289"/>
      <c r="AP29" s="289"/>
      <c r="AQ29" s="289"/>
      <c r="AR29" s="289"/>
      <c r="AS29" s="289"/>
      <c r="AT29" s="290">
        <f>+AE29</f>
        <v>72.22</v>
      </c>
      <c r="AU29" s="285"/>
      <c r="AV29" s="285"/>
      <c r="AW29" s="286"/>
      <c r="AX29" s="286"/>
      <c r="AY29" s="286"/>
      <c r="AZ29" s="286"/>
      <c r="BA29" s="286"/>
      <c r="BB29" s="286"/>
      <c r="BC29" s="286"/>
      <c r="BD29" s="286"/>
      <c r="BE29" s="288"/>
      <c r="BF29" s="289"/>
      <c r="BG29" s="285"/>
      <c r="BH29" s="285"/>
      <c r="BI29" s="286"/>
      <c r="BJ29" s="286"/>
      <c r="BK29" s="286"/>
      <c r="BL29" s="286"/>
      <c r="BM29" s="286"/>
      <c r="BN29" s="286"/>
      <c r="BO29" s="286"/>
      <c r="BP29" s="286"/>
      <c r="BQ29" s="286" t="s">
        <v>728</v>
      </c>
      <c r="BR29" s="286"/>
      <c r="BS29" s="286"/>
      <c r="BT29" s="286"/>
      <c r="BU29" s="286"/>
      <c r="BV29" s="286"/>
      <c r="BW29" s="286"/>
      <c r="BX29" s="286"/>
      <c r="BY29" s="286"/>
      <c r="BZ29" s="286"/>
      <c r="CA29" s="286"/>
      <c r="CB29" s="286"/>
      <c r="CC29" s="286"/>
      <c r="CD29" s="286"/>
      <c r="CE29" s="286"/>
    </row>
    <row r="30" spans="1:83" s="281" customFormat="1" ht="12">
      <c r="A30" s="316"/>
      <c r="B30" s="317"/>
      <c r="C30" s="316" t="s">
        <v>736</v>
      </c>
      <c r="E30" s="284"/>
      <c r="F30" s="285"/>
      <c r="G30" s="285"/>
      <c r="H30" s="286"/>
      <c r="I30" s="284"/>
      <c r="J30" s="285"/>
      <c r="K30" s="285"/>
      <c r="L30" s="286"/>
      <c r="M30" s="286"/>
      <c r="N30" s="286"/>
      <c r="O30" s="286"/>
      <c r="P30" s="286"/>
      <c r="Q30" s="286"/>
      <c r="R30" s="286"/>
      <c r="S30" s="286"/>
      <c r="T30" s="286"/>
      <c r="U30" s="286"/>
      <c r="V30" s="286"/>
      <c r="W30" s="286"/>
      <c r="X30" s="286"/>
      <c r="Y30" s="286"/>
      <c r="Z30" s="286"/>
      <c r="AA30" s="286"/>
      <c r="AB30" s="286"/>
      <c r="AC30" s="286"/>
      <c r="AD30" s="286"/>
      <c r="AE30" s="287">
        <v>121.88</v>
      </c>
      <c r="AF30" s="281" t="s">
        <v>737</v>
      </c>
      <c r="AH30" s="286"/>
      <c r="AI30" s="284">
        <f t="shared" si="15"/>
        <v>121.88</v>
      </c>
      <c r="AJ30" s="285"/>
      <c r="AK30" s="285"/>
      <c r="AL30" s="288"/>
      <c r="AM30" s="289"/>
      <c r="AN30" s="289"/>
      <c r="AO30" s="289"/>
      <c r="AP30" s="289"/>
      <c r="AQ30" s="289"/>
      <c r="AR30" s="289"/>
      <c r="AS30" s="289"/>
      <c r="AT30" s="290"/>
      <c r="AU30" s="285"/>
      <c r="AV30" s="285"/>
      <c r="AW30" s="286"/>
      <c r="AX30" s="286"/>
      <c r="AY30" s="286"/>
      <c r="AZ30" s="286"/>
      <c r="BA30" s="286"/>
      <c r="BB30" s="286"/>
      <c r="BC30" s="286"/>
      <c r="BD30" s="286"/>
      <c r="BE30" s="288"/>
      <c r="BF30" s="289"/>
      <c r="BG30" s="285"/>
      <c r="BH30" s="285"/>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row>
    <row r="31" spans="1:83" s="315" customFormat="1" thickBot="1">
      <c r="A31" s="324" t="s">
        <v>618</v>
      </c>
      <c r="B31" s="325"/>
      <c r="C31" s="324"/>
      <c r="D31" s="308"/>
      <c r="E31" s="309">
        <f>SUM(E17:E29)</f>
        <v>181.92999999999998</v>
      </c>
      <c r="F31" s="310"/>
      <c r="G31" s="310"/>
      <c r="H31" s="310"/>
      <c r="I31" s="309">
        <f>SUM(I17:I29)</f>
        <v>181.92999999999998</v>
      </c>
      <c r="J31" s="310">
        <f>SUM(J17:J29)</f>
        <v>105.72</v>
      </c>
      <c r="K31" s="310">
        <f t="shared" ref="K31:Q31" si="20">SUM(K17:K29)</f>
        <v>85.31</v>
      </c>
      <c r="L31" s="310">
        <f t="shared" si="20"/>
        <v>0</v>
      </c>
      <c r="M31" s="310">
        <f t="shared" si="20"/>
        <v>76.209999999999994</v>
      </c>
      <c r="N31" s="310">
        <f t="shared" si="20"/>
        <v>20.995999999999999</v>
      </c>
      <c r="O31" s="310">
        <f t="shared" si="20"/>
        <v>8.6916250000000002</v>
      </c>
      <c r="P31" s="310">
        <f t="shared" si="20"/>
        <v>14.645000000000001</v>
      </c>
      <c r="Q31" s="310">
        <f t="shared" si="20"/>
        <v>32.480000000000004</v>
      </c>
      <c r="R31" s="310">
        <f>+R37*1.1</f>
        <v>246.86529999999999</v>
      </c>
      <c r="S31" s="310">
        <f>+S37*1.05</f>
        <v>423.23399999999998</v>
      </c>
      <c r="T31" s="310">
        <f t="shared" ref="T31" si="21">SUM(T17:T29)</f>
        <v>19.875</v>
      </c>
      <c r="U31" s="310"/>
      <c r="V31" s="310"/>
      <c r="W31" s="310"/>
      <c r="X31" s="310"/>
      <c r="Y31" s="310"/>
      <c r="Z31" s="310"/>
      <c r="AA31" s="310">
        <f t="shared" ref="AA31" si="22">SUM(AA17:AA29)</f>
        <v>8.6</v>
      </c>
      <c r="AB31" s="310"/>
      <c r="AC31" s="310"/>
      <c r="AD31" s="310"/>
      <c r="AE31" s="311">
        <f>SUM(AE17:AE29)</f>
        <v>173.18</v>
      </c>
      <c r="AF31" s="308"/>
      <c r="AG31" s="308"/>
      <c r="AH31" s="310"/>
      <c r="AI31" s="309">
        <f>SUM(AI17:AI29)</f>
        <v>173.18</v>
      </c>
      <c r="AJ31" s="310"/>
      <c r="AK31" s="310"/>
      <c r="AL31" s="312">
        <f>SUM(AL17:AL29)</f>
        <v>7.69</v>
      </c>
      <c r="AM31" s="313"/>
      <c r="AN31" s="313"/>
      <c r="AO31" s="313">
        <f t="shared" ref="AO31:BI31" si="23">SUM(AO17:AO29)</f>
        <v>5.07</v>
      </c>
      <c r="AP31" s="313"/>
      <c r="AQ31" s="313">
        <f t="shared" si="23"/>
        <v>5.42</v>
      </c>
      <c r="AR31" s="313"/>
      <c r="AS31" s="313">
        <f t="shared" si="23"/>
        <v>69.879999999999981</v>
      </c>
      <c r="AT31" s="314">
        <f t="shared" si="23"/>
        <v>85.12</v>
      </c>
      <c r="AU31" s="310"/>
      <c r="AV31" s="310"/>
      <c r="AW31" s="310">
        <f t="shared" si="23"/>
        <v>0</v>
      </c>
      <c r="AX31" s="310">
        <f t="shared" si="23"/>
        <v>0</v>
      </c>
      <c r="AY31" s="310"/>
      <c r="AZ31" s="310"/>
      <c r="BA31" s="310"/>
      <c r="BB31" s="310"/>
      <c r="BC31" s="310"/>
      <c r="BD31" s="310"/>
      <c r="BE31" s="312"/>
      <c r="BF31" s="313"/>
      <c r="BG31" s="310"/>
      <c r="BH31" s="310"/>
      <c r="BI31" s="310">
        <f t="shared" si="23"/>
        <v>0</v>
      </c>
      <c r="BJ31" s="310"/>
      <c r="BK31" s="310"/>
      <c r="BL31" s="310"/>
      <c r="BM31" s="310"/>
      <c r="BN31" s="310"/>
      <c r="BO31" s="310"/>
      <c r="BP31" s="310"/>
      <c r="BQ31" s="310"/>
      <c r="BR31" s="310"/>
      <c r="BS31" s="310"/>
      <c r="BT31" s="310"/>
      <c r="BU31" s="310">
        <f>+S31</f>
        <v>423.23399999999998</v>
      </c>
      <c r="BV31" s="310"/>
      <c r="BW31" s="310">
        <f>+R31</f>
        <v>246.86529999999999</v>
      </c>
      <c r="BX31" s="310">
        <f>276-203</f>
        <v>73</v>
      </c>
      <c r="BY31" s="310"/>
      <c r="BZ31" s="310"/>
      <c r="CA31" s="310">
        <v>70</v>
      </c>
      <c r="CB31" s="310"/>
      <c r="CC31" s="310"/>
      <c r="CD31" s="310"/>
      <c r="CE31" s="310"/>
    </row>
    <row r="32" spans="1:83" s="281" customFormat="1" thickTop="1">
      <c r="A32" s="281" t="s">
        <v>738</v>
      </c>
      <c r="B32" s="326"/>
      <c r="AE32" s="335">
        <f>SUM(AE17:AE30)</f>
        <v>295.06</v>
      </c>
    </row>
    <row r="33" spans="2:77" s="281" customFormat="1" ht="12">
      <c r="B33" s="326"/>
      <c r="AE33" s="327"/>
    </row>
    <row r="34" spans="2:77">
      <c r="C34" s="331" t="s">
        <v>619</v>
      </c>
      <c r="R34">
        <f>+BW34</f>
        <v>288.34100000000001</v>
      </c>
      <c r="S34">
        <f>+BU34</f>
        <v>677.39080000000001</v>
      </c>
      <c r="AI34" s="329"/>
      <c r="AJ34" s="329"/>
      <c r="AK34" s="329"/>
      <c r="AL34" s="329"/>
      <c r="BU34" s="330">
        <f>SUM(BU35:BU59)</f>
        <v>677.39080000000001</v>
      </c>
      <c r="BV34" s="330"/>
      <c r="BW34" s="330">
        <f>SUM(BW35:BW59)</f>
        <v>288.34100000000001</v>
      </c>
      <c r="BX34" s="333"/>
      <c r="BY34" s="333"/>
    </row>
    <row r="35" spans="2:77">
      <c r="BU35">
        <f>16.83*7.88*2</f>
        <v>265.24079999999998</v>
      </c>
      <c r="BW35">
        <f>+(0.15+2.15+3.8)*(0.6+1.3)</f>
        <v>11.589999999999998</v>
      </c>
    </row>
    <row r="36" spans="2:77">
      <c r="BU36">
        <f>5.5*4.6</f>
        <v>25.299999999999997</v>
      </c>
      <c r="BW36">
        <f>+(0.2+4.5+0.3+0.35+1.5)*3.3</f>
        <v>22.604999999999997</v>
      </c>
    </row>
    <row r="37" spans="2:77">
      <c r="C37" s="331" t="s">
        <v>734</v>
      </c>
      <c r="R37" s="336">
        <f>SUM(R38:R56)</f>
        <v>224.42299999999997</v>
      </c>
      <c r="S37" s="336">
        <f>SUM(S38:S44)</f>
        <v>403.08</v>
      </c>
      <c r="BU37">
        <f>24*5.7</f>
        <v>136.80000000000001</v>
      </c>
      <c r="BW37">
        <f>+(0.75+1.1)*(1.5+1.2)</f>
        <v>4.995000000000001</v>
      </c>
    </row>
    <row r="38" spans="2:77">
      <c r="R38">
        <f>5.5*(4.1-1.5)</f>
        <v>14.299999999999997</v>
      </c>
      <c r="S38">
        <f>5.53*8/2</f>
        <v>22.12</v>
      </c>
      <c r="BU38">
        <f>10*5.7</f>
        <v>57</v>
      </c>
      <c r="BW38">
        <f>0.95*1.2</f>
        <v>1.1399999999999999</v>
      </c>
    </row>
    <row r="39" spans="2:77">
      <c r="R39">
        <f>1.2*4.1</f>
        <v>4.919999999999999</v>
      </c>
      <c r="S39">
        <f>5.53*4*2</f>
        <v>44.24</v>
      </c>
      <c r="BU39">
        <f>12*5.7</f>
        <v>68.400000000000006</v>
      </c>
    </row>
    <row r="40" spans="2:77">
      <c r="R40">
        <f>3.75*(4.1-1.5)</f>
        <v>9.7499999999999982</v>
      </c>
      <c r="S40">
        <f>6.33*6*2</f>
        <v>75.960000000000008</v>
      </c>
      <c r="BU40">
        <f>2.5*9</f>
        <v>22.5</v>
      </c>
      <c r="BW40">
        <f>+(0.53+2.47+0.3+0.3+2.67+1.5+1.45+0.55)*2.7</f>
        <v>26.379000000000001</v>
      </c>
    </row>
    <row r="41" spans="2:77">
      <c r="R41">
        <f>+(1.51+0.75)*3.25</f>
        <v>7.3449999999999989</v>
      </c>
      <c r="S41">
        <f>6.2*7*2</f>
        <v>86.8</v>
      </c>
      <c r="BU41">
        <f>12*5.7</f>
        <v>68.400000000000006</v>
      </c>
      <c r="BW41">
        <f>+(1.4+1.4+1.4)*(0.9+0.5)</f>
        <v>5.879999999999999</v>
      </c>
    </row>
    <row r="42" spans="2:77">
      <c r="R42">
        <f>3.5*(2.6-1.5)</f>
        <v>3.8500000000000005</v>
      </c>
      <c r="S42">
        <f>6.2*9/2</f>
        <v>27.900000000000002</v>
      </c>
      <c r="BU42">
        <f>7.5*4.5</f>
        <v>33.75</v>
      </c>
      <c r="BW42">
        <f>1*(1+0.7)</f>
        <v>1.7</v>
      </c>
    </row>
    <row r="43" spans="2:77">
      <c r="R43">
        <f>0.2*2.6</f>
        <v>0.52</v>
      </c>
      <c r="S43">
        <f>6.7*8.4*2</f>
        <v>112.56</v>
      </c>
      <c r="BW43">
        <f>+(4.3+3.4)*(1.5+0.5)</f>
        <v>15.399999999999999</v>
      </c>
    </row>
    <row r="44" spans="2:77">
      <c r="R44">
        <f>3.5*(2.6-1.5)</f>
        <v>3.8500000000000005</v>
      </c>
      <c r="S44">
        <f>6.7*10/2</f>
        <v>33.5</v>
      </c>
    </row>
    <row r="45" spans="2:77">
      <c r="R45">
        <f>+(0.4+1)*3.25</f>
        <v>4.55</v>
      </c>
      <c r="BW45">
        <f>+(3.4+2.43+1.6+8.97)*3.5</f>
        <v>57.399999999999991</v>
      </c>
    </row>
    <row r="46" spans="2:77">
      <c r="R46">
        <f>4.38*(3.25-1.5)</f>
        <v>7.665</v>
      </c>
      <c r="BW46">
        <f>1*(1.5+1.4)</f>
        <v>2.9</v>
      </c>
    </row>
    <row r="47" spans="2:77">
      <c r="R47">
        <f>2.62*3.25</f>
        <v>8.5150000000000006</v>
      </c>
    </row>
    <row r="48" spans="2:77">
      <c r="R48">
        <f>7.34*3.25</f>
        <v>23.855</v>
      </c>
      <c r="BW48">
        <f>5.67*(0.6+4)</f>
        <v>26.081999999999997</v>
      </c>
    </row>
    <row r="49" spans="18:75">
      <c r="R49">
        <f>7*3.25</f>
        <v>22.75</v>
      </c>
    </row>
    <row r="50" spans="18:75">
      <c r="R50">
        <f>8.4*3.25</f>
        <v>27.3</v>
      </c>
      <c r="BW50">
        <f>+(0.85+0.9+1.2)*(0.6+1.5)</f>
        <v>6.1950000000000003</v>
      </c>
    </row>
    <row r="51" spans="18:75">
      <c r="R51">
        <f>8*3.25</f>
        <v>26</v>
      </c>
      <c r="BW51">
        <f>+(1.75+1+1+1)*1.5</f>
        <v>7.125</v>
      </c>
    </row>
    <row r="52" spans="18:75">
      <c r="R52">
        <f>3.55*3.25</f>
        <v>11.5375</v>
      </c>
      <c r="BW52">
        <f>+(1.5+0.52+0.8+0.53)*3.5</f>
        <v>11.725000000000001</v>
      </c>
    </row>
    <row r="53" spans="18:75">
      <c r="R53">
        <f>3.5*(3.25-1.5)</f>
        <v>6.125</v>
      </c>
    </row>
    <row r="54" spans="18:75">
      <c r="R54">
        <f>2*3.5</f>
        <v>7</v>
      </c>
      <c r="BW54">
        <f>+(5.68+3.05)*3.5</f>
        <v>30.555</v>
      </c>
    </row>
    <row r="55" spans="18:75">
      <c r="R55">
        <f>4*3.8</f>
        <v>15.2</v>
      </c>
      <c r="BW55">
        <f>+(1+1)*1.5</f>
        <v>3</v>
      </c>
    </row>
    <row r="56" spans="18:75">
      <c r="R56">
        <f>4.17*4.65</f>
        <v>19.390499999999999</v>
      </c>
    </row>
    <row r="57" spans="18:75">
      <c r="BW57">
        <f>10.8*1.9</f>
        <v>20.52</v>
      </c>
    </row>
    <row r="59" spans="18:75">
      <c r="BW59">
        <f>8.5*3.9</f>
        <v>33.15</v>
      </c>
    </row>
  </sheetData>
  <mergeCells count="12">
    <mergeCell ref="F1:F2"/>
    <mergeCell ref="AI1:CE1"/>
    <mergeCell ref="BZ2:CE2"/>
    <mergeCell ref="A1:A2"/>
    <mergeCell ref="B1:B2"/>
    <mergeCell ref="C1:C2"/>
    <mergeCell ref="D1:D2"/>
    <mergeCell ref="E1:E2"/>
    <mergeCell ref="I1:AD1"/>
    <mergeCell ref="AE1:AE2"/>
    <mergeCell ref="AF1:AF2"/>
    <mergeCell ref="AI2:AT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6"/>
  <sheetViews>
    <sheetView view="pageBreakPreview" topLeftCell="A16" zoomScale="130" zoomScaleNormal="100" zoomScaleSheetLayoutView="130" workbookViewId="0">
      <selection activeCell="C19" sqref="C19"/>
    </sheetView>
  </sheetViews>
  <sheetFormatPr defaultColWidth="11.5703125" defaultRowHeight="12.75"/>
  <cols>
    <col min="1" max="1" width="6" style="412" customWidth="1"/>
    <col min="2" max="2" width="45.5703125" style="412" customWidth="1"/>
    <col min="3" max="3" width="14" style="1002" customWidth="1"/>
    <col min="4" max="4" width="7.7109375" style="413" customWidth="1"/>
    <col min="5" max="5" width="7" style="413" bestFit="1" customWidth="1"/>
    <col min="6" max="6" width="8.85546875" style="1011" customWidth="1"/>
    <col min="7" max="7" width="11.5703125" style="993"/>
    <col min="8" max="257" width="11.5703125" style="412"/>
    <col min="258" max="258" width="6" style="412" customWidth="1"/>
    <col min="259" max="259" width="26.5703125" style="412" customWidth="1"/>
    <col min="260" max="260" width="6.7109375" style="412" customWidth="1"/>
    <col min="261" max="261" width="7" style="412" customWidth="1"/>
    <col min="262" max="513" width="11.5703125" style="412"/>
    <col min="514" max="514" width="6" style="412" customWidth="1"/>
    <col min="515" max="515" width="26.5703125" style="412" customWidth="1"/>
    <col min="516" max="516" width="6.7109375" style="412" customWidth="1"/>
    <col min="517" max="517" width="7" style="412" customWidth="1"/>
    <col min="518" max="769" width="11.5703125" style="412"/>
    <col min="770" max="770" width="6" style="412" customWidth="1"/>
    <col min="771" max="771" width="26.5703125" style="412" customWidth="1"/>
    <col min="772" max="772" width="6.7109375" style="412" customWidth="1"/>
    <col min="773" max="773" width="7" style="412" customWidth="1"/>
    <col min="774" max="1025" width="11.5703125" style="412"/>
    <col min="1026" max="1026" width="6" style="412" customWidth="1"/>
    <col min="1027" max="1027" width="26.5703125" style="412" customWidth="1"/>
    <col min="1028" max="1028" width="6.7109375" style="412" customWidth="1"/>
    <col min="1029" max="1029" width="7" style="412" customWidth="1"/>
    <col min="1030" max="1281" width="11.5703125" style="412"/>
    <col min="1282" max="1282" width="6" style="412" customWidth="1"/>
    <col min="1283" max="1283" width="26.5703125" style="412" customWidth="1"/>
    <col min="1284" max="1284" width="6.7109375" style="412" customWidth="1"/>
    <col min="1285" max="1285" width="7" style="412" customWidth="1"/>
    <col min="1286" max="1537" width="11.5703125" style="412"/>
    <col min="1538" max="1538" width="6" style="412" customWidth="1"/>
    <col min="1539" max="1539" width="26.5703125" style="412" customWidth="1"/>
    <col min="1540" max="1540" width="6.7109375" style="412" customWidth="1"/>
    <col min="1541" max="1541" width="7" style="412" customWidth="1"/>
    <col min="1542" max="1793" width="11.5703125" style="412"/>
    <col min="1794" max="1794" width="6" style="412" customWidth="1"/>
    <col min="1795" max="1795" width="26.5703125" style="412" customWidth="1"/>
    <col min="1796" max="1796" width="6.7109375" style="412" customWidth="1"/>
    <col min="1797" max="1797" width="7" style="412" customWidth="1"/>
    <col min="1798" max="2049" width="11.5703125" style="412"/>
    <col min="2050" max="2050" width="6" style="412" customWidth="1"/>
    <col min="2051" max="2051" width="26.5703125" style="412" customWidth="1"/>
    <col min="2052" max="2052" width="6.7109375" style="412" customWidth="1"/>
    <col min="2053" max="2053" width="7" style="412" customWidth="1"/>
    <col min="2054" max="2305" width="11.5703125" style="412"/>
    <col min="2306" max="2306" width="6" style="412" customWidth="1"/>
    <col min="2307" max="2307" width="26.5703125" style="412" customWidth="1"/>
    <col min="2308" max="2308" width="6.7109375" style="412" customWidth="1"/>
    <col min="2309" max="2309" width="7" style="412" customWidth="1"/>
    <col min="2310" max="2561" width="11.5703125" style="412"/>
    <col min="2562" max="2562" width="6" style="412" customWidth="1"/>
    <col min="2563" max="2563" width="26.5703125" style="412" customWidth="1"/>
    <col min="2564" max="2564" width="6.7109375" style="412" customWidth="1"/>
    <col min="2565" max="2565" width="7" style="412" customWidth="1"/>
    <col min="2566" max="2817" width="11.5703125" style="412"/>
    <col min="2818" max="2818" width="6" style="412" customWidth="1"/>
    <col min="2819" max="2819" width="26.5703125" style="412" customWidth="1"/>
    <col min="2820" max="2820" width="6.7109375" style="412" customWidth="1"/>
    <col min="2821" max="2821" width="7" style="412" customWidth="1"/>
    <col min="2822" max="3073" width="11.5703125" style="412"/>
    <col min="3074" max="3074" width="6" style="412" customWidth="1"/>
    <col min="3075" max="3075" width="26.5703125" style="412" customWidth="1"/>
    <col min="3076" max="3076" width="6.7109375" style="412" customWidth="1"/>
    <col min="3077" max="3077" width="7" style="412" customWidth="1"/>
    <col min="3078" max="3329" width="11.5703125" style="412"/>
    <col min="3330" max="3330" width="6" style="412" customWidth="1"/>
    <col min="3331" max="3331" width="26.5703125" style="412" customWidth="1"/>
    <col min="3332" max="3332" width="6.7109375" style="412" customWidth="1"/>
    <col min="3333" max="3333" width="7" style="412" customWidth="1"/>
    <col min="3334" max="3585" width="11.5703125" style="412"/>
    <col min="3586" max="3586" width="6" style="412" customWidth="1"/>
    <col min="3587" max="3587" width="26.5703125" style="412" customWidth="1"/>
    <col min="3588" max="3588" width="6.7109375" style="412" customWidth="1"/>
    <col min="3589" max="3589" width="7" style="412" customWidth="1"/>
    <col min="3590" max="3841" width="11.5703125" style="412"/>
    <col min="3842" max="3842" width="6" style="412" customWidth="1"/>
    <col min="3843" max="3843" width="26.5703125" style="412" customWidth="1"/>
    <col min="3844" max="3844" width="6.7109375" style="412" customWidth="1"/>
    <col min="3845" max="3845" width="7" style="412" customWidth="1"/>
    <col min="3846" max="4097" width="11.5703125" style="412"/>
    <col min="4098" max="4098" width="6" style="412" customWidth="1"/>
    <col min="4099" max="4099" width="26.5703125" style="412" customWidth="1"/>
    <col min="4100" max="4100" width="6.7109375" style="412" customWidth="1"/>
    <col min="4101" max="4101" width="7" style="412" customWidth="1"/>
    <col min="4102" max="4353" width="11.5703125" style="412"/>
    <col min="4354" max="4354" width="6" style="412" customWidth="1"/>
    <col min="4355" max="4355" width="26.5703125" style="412" customWidth="1"/>
    <col min="4356" max="4356" width="6.7109375" style="412" customWidth="1"/>
    <col min="4357" max="4357" width="7" style="412" customWidth="1"/>
    <col min="4358" max="4609" width="11.5703125" style="412"/>
    <col min="4610" max="4610" width="6" style="412" customWidth="1"/>
    <col min="4611" max="4611" width="26.5703125" style="412" customWidth="1"/>
    <col min="4612" max="4612" width="6.7109375" style="412" customWidth="1"/>
    <col min="4613" max="4613" width="7" style="412" customWidth="1"/>
    <col min="4614" max="4865" width="11.5703125" style="412"/>
    <col min="4866" max="4866" width="6" style="412" customWidth="1"/>
    <col min="4867" max="4867" width="26.5703125" style="412" customWidth="1"/>
    <col min="4868" max="4868" width="6.7109375" style="412" customWidth="1"/>
    <col min="4869" max="4869" width="7" style="412" customWidth="1"/>
    <col min="4870" max="5121" width="11.5703125" style="412"/>
    <col min="5122" max="5122" width="6" style="412" customWidth="1"/>
    <col min="5123" max="5123" width="26.5703125" style="412" customWidth="1"/>
    <col min="5124" max="5124" width="6.7109375" style="412" customWidth="1"/>
    <col min="5125" max="5125" width="7" style="412" customWidth="1"/>
    <col min="5126" max="5377" width="11.5703125" style="412"/>
    <col min="5378" max="5378" width="6" style="412" customWidth="1"/>
    <col min="5379" max="5379" width="26.5703125" style="412" customWidth="1"/>
    <col min="5380" max="5380" width="6.7109375" style="412" customWidth="1"/>
    <col min="5381" max="5381" width="7" style="412" customWidth="1"/>
    <col min="5382" max="5633" width="11.5703125" style="412"/>
    <col min="5634" max="5634" width="6" style="412" customWidth="1"/>
    <col min="5635" max="5635" width="26.5703125" style="412" customWidth="1"/>
    <col min="5636" max="5636" width="6.7109375" style="412" customWidth="1"/>
    <col min="5637" max="5637" width="7" style="412" customWidth="1"/>
    <col min="5638" max="5889" width="11.5703125" style="412"/>
    <col min="5890" max="5890" width="6" style="412" customWidth="1"/>
    <col min="5891" max="5891" width="26.5703125" style="412" customWidth="1"/>
    <col min="5892" max="5892" width="6.7109375" style="412" customWidth="1"/>
    <col min="5893" max="5893" width="7" style="412" customWidth="1"/>
    <col min="5894" max="6145" width="11.5703125" style="412"/>
    <col min="6146" max="6146" width="6" style="412" customWidth="1"/>
    <col min="6147" max="6147" width="26.5703125" style="412" customWidth="1"/>
    <col min="6148" max="6148" width="6.7109375" style="412" customWidth="1"/>
    <col min="6149" max="6149" width="7" style="412" customWidth="1"/>
    <col min="6150" max="6401" width="11.5703125" style="412"/>
    <col min="6402" max="6402" width="6" style="412" customWidth="1"/>
    <col min="6403" max="6403" width="26.5703125" style="412" customWidth="1"/>
    <col min="6404" max="6404" width="6.7109375" style="412" customWidth="1"/>
    <col min="6405" max="6405" width="7" style="412" customWidth="1"/>
    <col min="6406" max="6657" width="11.5703125" style="412"/>
    <col min="6658" max="6658" width="6" style="412" customWidth="1"/>
    <col min="6659" max="6659" width="26.5703125" style="412" customWidth="1"/>
    <col min="6660" max="6660" width="6.7109375" style="412" customWidth="1"/>
    <col min="6661" max="6661" width="7" style="412" customWidth="1"/>
    <col min="6662" max="6913" width="11.5703125" style="412"/>
    <col min="6914" max="6914" width="6" style="412" customWidth="1"/>
    <col min="6915" max="6915" width="26.5703125" style="412" customWidth="1"/>
    <col min="6916" max="6916" width="6.7109375" style="412" customWidth="1"/>
    <col min="6917" max="6917" width="7" style="412" customWidth="1"/>
    <col min="6918" max="7169" width="11.5703125" style="412"/>
    <col min="7170" max="7170" width="6" style="412" customWidth="1"/>
    <col min="7171" max="7171" width="26.5703125" style="412" customWidth="1"/>
    <col min="7172" max="7172" width="6.7109375" style="412" customWidth="1"/>
    <col min="7173" max="7173" width="7" style="412" customWidth="1"/>
    <col min="7174" max="7425" width="11.5703125" style="412"/>
    <col min="7426" max="7426" width="6" style="412" customWidth="1"/>
    <col min="7427" max="7427" width="26.5703125" style="412" customWidth="1"/>
    <col min="7428" max="7428" width="6.7109375" style="412" customWidth="1"/>
    <col min="7429" max="7429" width="7" style="412" customWidth="1"/>
    <col min="7430" max="7681" width="11.5703125" style="412"/>
    <col min="7682" max="7682" width="6" style="412" customWidth="1"/>
    <col min="7683" max="7683" width="26.5703125" style="412" customWidth="1"/>
    <col min="7684" max="7684" width="6.7109375" style="412" customWidth="1"/>
    <col min="7685" max="7685" width="7" style="412" customWidth="1"/>
    <col min="7686" max="7937" width="11.5703125" style="412"/>
    <col min="7938" max="7938" width="6" style="412" customWidth="1"/>
    <col min="7939" max="7939" width="26.5703125" style="412" customWidth="1"/>
    <col min="7940" max="7940" width="6.7109375" style="412" customWidth="1"/>
    <col min="7941" max="7941" width="7" style="412" customWidth="1"/>
    <col min="7942" max="8193" width="11.5703125" style="412"/>
    <col min="8194" max="8194" width="6" style="412" customWidth="1"/>
    <col min="8195" max="8195" width="26.5703125" style="412" customWidth="1"/>
    <col min="8196" max="8196" width="6.7109375" style="412" customWidth="1"/>
    <col min="8197" max="8197" width="7" style="412" customWidth="1"/>
    <col min="8198" max="8449" width="11.5703125" style="412"/>
    <col min="8450" max="8450" width="6" style="412" customWidth="1"/>
    <col min="8451" max="8451" width="26.5703125" style="412" customWidth="1"/>
    <col min="8452" max="8452" width="6.7109375" style="412" customWidth="1"/>
    <col min="8453" max="8453" width="7" style="412" customWidth="1"/>
    <col min="8454" max="8705" width="11.5703125" style="412"/>
    <col min="8706" max="8706" width="6" style="412" customWidth="1"/>
    <col min="8707" max="8707" width="26.5703125" style="412" customWidth="1"/>
    <col min="8708" max="8708" width="6.7109375" style="412" customWidth="1"/>
    <col min="8709" max="8709" width="7" style="412" customWidth="1"/>
    <col min="8710" max="8961" width="11.5703125" style="412"/>
    <col min="8962" max="8962" width="6" style="412" customWidth="1"/>
    <col min="8963" max="8963" width="26.5703125" style="412" customWidth="1"/>
    <col min="8964" max="8964" width="6.7109375" style="412" customWidth="1"/>
    <col min="8965" max="8965" width="7" style="412" customWidth="1"/>
    <col min="8966" max="9217" width="11.5703125" style="412"/>
    <col min="9218" max="9218" width="6" style="412" customWidth="1"/>
    <col min="9219" max="9219" width="26.5703125" style="412" customWidth="1"/>
    <col min="9220" max="9220" width="6.7109375" style="412" customWidth="1"/>
    <col min="9221" max="9221" width="7" style="412" customWidth="1"/>
    <col min="9222" max="9473" width="11.5703125" style="412"/>
    <col min="9474" max="9474" width="6" style="412" customWidth="1"/>
    <col min="9475" max="9475" width="26.5703125" style="412" customWidth="1"/>
    <col min="9476" max="9476" width="6.7109375" style="412" customWidth="1"/>
    <col min="9477" max="9477" width="7" style="412" customWidth="1"/>
    <col min="9478" max="9729" width="11.5703125" style="412"/>
    <col min="9730" max="9730" width="6" style="412" customWidth="1"/>
    <col min="9731" max="9731" width="26.5703125" style="412" customWidth="1"/>
    <col min="9732" max="9732" width="6.7109375" style="412" customWidth="1"/>
    <col min="9733" max="9733" width="7" style="412" customWidth="1"/>
    <col min="9734" max="9985" width="11.5703125" style="412"/>
    <col min="9986" max="9986" width="6" style="412" customWidth="1"/>
    <col min="9987" max="9987" width="26.5703125" style="412" customWidth="1"/>
    <col min="9988" max="9988" width="6.7109375" style="412" customWidth="1"/>
    <col min="9989" max="9989" width="7" style="412" customWidth="1"/>
    <col min="9990" max="10241" width="11.5703125" style="412"/>
    <col min="10242" max="10242" width="6" style="412" customWidth="1"/>
    <col min="10243" max="10243" width="26.5703125" style="412" customWidth="1"/>
    <col min="10244" max="10244" width="6.7109375" style="412" customWidth="1"/>
    <col min="10245" max="10245" width="7" style="412" customWidth="1"/>
    <col min="10246" max="10497" width="11.5703125" style="412"/>
    <col min="10498" max="10498" width="6" style="412" customWidth="1"/>
    <col min="10499" max="10499" width="26.5703125" style="412" customWidth="1"/>
    <col min="10500" max="10500" width="6.7109375" style="412" customWidth="1"/>
    <col min="10501" max="10501" width="7" style="412" customWidth="1"/>
    <col min="10502" max="10753" width="11.5703125" style="412"/>
    <col min="10754" max="10754" width="6" style="412" customWidth="1"/>
    <col min="10755" max="10755" width="26.5703125" style="412" customWidth="1"/>
    <col min="10756" max="10756" width="6.7109375" style="412" customWidth="1"/>
    <col min="10757" max="10757" width="7" style="412" customWidth="1"/>
    <col min="10758" max="11009" width="11.5703125" style="412"/>
    <col min="11010" max="11010" width="6" style="412" customWidth="1"/>
    <col min="11011" max="11011" width="26.5703125" style="412" customWidth="1"/>
    <col min="11012" max="11012" width="6.7109375" style="412" customWidth="1"/>
    <col min="11013" max="11013" width="7" style="412" customWidth="1"/>
    <col min="11014" max="11265" width="11.5703125" style="412"/>
    <col min="11266" max="11266" width="6" style="412" customWidth="1"/>
    <col min="11267" max="11267" width="26.5703125" style="412" customWidth="1"/>
    <col min="11268" max="11268" width="6.7109375" style="412" customWidth="1"/>
    <col min="11269" max="11269" width="7" style="412" customWidth="1"/>
    <col min="11270" max="11521" width="11.5703125" style="412"/>
    <col min="11522" max="11522" width="6" style="412" customWidth="1"/>
    <col min="11523" max="11523" width="26.5703125" style="412" customWidth="1"/>
    <col min="11524" max="11524" width="6.7109375" style="412" customWidth="1"/>
    <col min="11525" max="11525" width="7" style="412" customWidth="1"/>
    <col min="11526" max="11777" width="11.5703125" style="412"/>
    <col min="11778" max="11778" width="6" style="412" customWidth="1"/>
    <col min="11779" max="11779" width="26.5703125" style="412" customWidth="1"/>
    <col min="11780" max="11780" width="6.7109375" style="412" customWidth="1"/>
    <col min="11781" max="11781" width="7" style="412" customWidth="1"/>
    <col min="11782" max="12033" width="11.5703125" style="412"/>
    <col min="12034" max="12034" width="6" style="412" customWidth="1"/>
    <col min="12035" max="12035" width="26.5703125" style="412" customWidth="1"/>
    <col min="12036" max="12036" width="6.7109375" style="412" customWidth="1"/>
    <col min="12037" max="12037" width="7" style="412" customWidth="1"/>
    <col min="12038" max="12289" width="11.5703125" style="412"/>
    <col min="12290" max="12290" width="6" style="412" customWidth="1"/>
    <col min="12291" max="12291" width="26.5703125" style="412" customWidth="1"/>
    <col min="12292" max="12292" width="6.7109375" style="412" customWidth="1"/>
    <col min="12293" max="12293" width="7" style="412" customWidth="1"/>
    <col min="12294" max="12545" width="11.5703125" style="412"/>
    <col min="12546" max="12546" width="6" style="412" customWidth="1"/>
    <col min="12547" max="12547" width="26.5703125" style="412" customWidth="1"/>
    <col min="12548" max="12548" width="6.7109375" style="412" customWidth="1"/>
    <col min="12549" max="12549" width="7" style="412" customWidth="1"/>
    <col min="12550" max="12801" width="11.5703125" style="412"/>
    <col min="12802" max="12802" width="6" style="412" customWidth="1"/>
    <col min="12803" max="12803" width="26.5703125" style="412" customWidth="1"/>
    <col min="12804" max="12804" width="6.7109375" style="412" customWidth="1"/>
    <col min="12805" max="12805" width="7" style="412" customWidth="1"/>
    <col min="12806" max="13057" width="11.5703125" style="412"/>
    <col min="13058" max="13058" width="6" style="412" customWidth="1"/>
    <col min="13059" max="13059" width="26.5703125" style="412" customWidth="1"/>
    <col min="13060" max="13060" width="6.7109375" style="412" customWidth="1"/>
    <col min="13061" max="13061" width="7" style="412" customWidth="1"/>
    <col min="13062" max="13313" width="11.5703125" style="412"/>
    <col min="13314" max="13314" width="6" style="412" customWidth="1"/>
    <col min="13315" max="13315" width="26.5703125" style="412" customWidth="1"/>
    <col min="13316" max="13316" width="6.7109375" style="412" customWidth="1"/>
    <col min="13317" max="13317" width="7" style="412" customWidth="1"/>
    <col min="13318" max="13569" width="11.5703125" style="412"/>
    <col min="13570" max="13570" width="6" style="412" customWidth="1"/>
    <col min="13571" max="13571" width="26.5703125" style="412" customWidth="1"/>
    <col min="13572" max="13572" width="6.7109375" style="412" customWidth="1"/>
    <col min="13573" max="13573" width="7" style="412" customWidth="1"/>
    <col min="13574" max="13825" width="11.5703125" style="412"/>
    <col min="13826" max="13826" width="6" style="412" customWidth="1"/>
    <col min="13827" max="13827" width="26.5703125" style="412" customWidth="1"/>
    <col min="13828" max="13828" width="6.7109375" style="412" customWidth="1"/>
    <col min="13829" max="13829" width="7" style="412" customWidth="1"/>
    <col min="13830" max="14081" width="11.5703125" style="412"/>
    <col min="14082" max="14082" width="6" style="412" customWidth="1"/>
    <col min="14083" max="14083" width="26.5703125" style="412" customWidth="1"/>
    <col min="14084" max="14084" width="6.7109375" style="412" customWidth="1"/>
    <col min="14085" max="14085" width="7" style="412" customWidth="1"/>
    <col min="14086" max="14337" width="11.5703125" style="412"/>
    <col min="14338" max="14338" width="6" style="412" customWidth="1"/>
    <col min="14339" max="14339" width="26.5703125" style="412" customWidth="1"/>
    <col min="14340" max="14340" width="6.7109375" style="412" customWidth="1"/>
    <col min="14341" max="14341" width="7" style="412" customWidth="1"/>
    <col min="14342" max="14593" width="11.5703125" style="412"/>
    <col min="14594" max="14594" width="6" style="412" customWidth="1"/>
    <col min="14595" max="14595" width="26.5703125" style="412" customWidth="1"/>
    <col min="14596" max="14596" width="6.7109375" style="412" customWidth="1"/>
    <col min="14597" max="14597" width="7" style="412" customWidth="1"/>
    <col min="14598" max="14849" width="11.5703125" style="412"/>
    <col min="14850" max="14850" width="6" style="412" customWidth="1"/>
    <col min="14851" max="14851" width="26.5703125" style="412" customWidth="1"/>
    <col min="14852" max="14852" width="6.7109375" style="412" customWidth="1"/>
    <col min="14853" max="14853" width="7" style="412" customWidth="1"/>
    <col min="14854" max="15105" width="11.5703125" style="412"/>
    <col min="15106" max="15106" width="6" style="412" customWidth="1"/>
    <col min="15107" max="15107" width="26.5703125" style="412" customWidth="1"/>
    <col min="15108" max="15108" width="6.7109375" style="412" customWidth="1"/>
    <col min="15109" max="15109" width="7" style="412" customWidth="1"/>
    <col min="15110" max="15361" width="11.5703125" style="412"/>
    <col min="15362" max="15362" width="6" style="412" customWidth="1"/>
    <col min="15363" max="15363" width="26.5703125" style="412" customWidth="1"/>
    <col min="15364" max="15364" width="6.7109375" style="412" customWidth="1"/>
    <col min="15365" max="15365" width="7" style="412" customWidth="1"/>
    <col min="15366" max="15617" width="11.5703125" style="412"/>
    <col min="15618" max="15618" width="6" style="412" customWidth="1"/>
    <col min="15619" max="15619" width="26.5703125" style="412" customWidth="1"/>
    <col min="15620" max="15620" width="6.7109375" style="412" customWidth="1"/>
    <col min="15621" max="15621" width="7" style="412" customWidth="1"/>
    <col min="15622" max="15873" width="11.5703125" style="412"/>
    <col min="15874" max="15874" width="6" style="412" customWidth="1"/>
    <col min="15875" max="15875" width="26.5703125" style="412" customWidth="1"/>
    <col min="15876" max="15876" width="6.7109375" style="412" customWidth="1"/>
    <col min="15877" max="15877" width="7" style="412" customWidth="1"/>
    <col min="15878" max="16129" width="11.5703125" style="412"/>
    <col min="16130" max="16130" width="6" style="412" customWidth="1"/>
    <col min="16131" max="16131" width="26.5703125" style="412" customWidth="1"/>
    <col min="16132" max="16132" width="6.7109375" style="412" customWidth="1"/>
    <col min="16133" max="16133" width="7" style="412" customWidth="1"/>
    <col min="16134" max="16384" width="11.5703125" style="412"/>
  </cols>
  <sheetData>
    <row r="1" spans="1:8">
      <c r="B1" s="412" t="s">
        <v>1099</v>
      </c>
    </row>
    <row r="2" spans="1:8">
      <c r="B2" s="412" t="s">
        <v>1100</v>
      </c>
    </row>
    <row r="3" spans="1:8">
      <c r="B3" s="412" t="s">
        <v>1101</v>
      </c>
    </row>
    <row r="5" spans="1:8">
      <c r="B5" s="412" t="s">
        <v>1102</v>
      </c>
    </row>
    <row r="6" spans="1:8">
      <c r="B6" s="412" t="s">
        <v>1103</v>
      </c>
    </row>
    <row r="7" spans="1:8">
      <c r="B7" s="412" t="s">
        <v>1104</v>
      </c>
    </row>
    <row r="8" spans="1:8">
      <c r="B8" s="412" t="s">
        <v>1105</v>
      </c>
    </row>
    <row r="10" spans="1:8">
      <c r="B10" s="414" t="s">
        <v>1106</v>
      </c>
      <c r="C10" s="1003"/>
    </row>
    <row r="11" spans="1:8">
      <c r="B11" s="412" t="s">
        <v>1107</v>
      </c>
    </row>
    <row r="12" spans="1:8">
      <c r="B12" s="412" t="s">
        <v>1108</v>
      </c>
    </row>
    <row r="14" spans="1:8">
      <c r="B14" s="412" t="s">
        <v>1109</v>
      </c>
    </row>
    <row r="15" spans="1:8" ht="13.5" thickBot="1"/>
    <row r="16" spans="1:8" ht="30.75" customHeight="1" thickBot="1">
      <c r="A16" s="717" t="s">
        <v>13</v>
      </c>
      <c r="B16" s="718" t="s">
        <v>9</v>
      </c>
      <c r="C16" s="1004" t="s">
        <v>1841</v>
      </c>
      <c r="D16" s="719" t="s">
        <v>15</v>
      </c>
      <c r="E16" s="719" t="s">
        <v>10</v>
      </c>
      <c r="F16" s="1012" t="s">
        <v>16</v>
      </c>
      <c r="G16" s="994" t="s">
        <v>17</v>
      </c>
      <c r="H16" s="720"/>
    </row>
    <row r="17" spans="1:7">
      <c r="B17" s="421" t="s">
        <v>1110</v>
      </c>
      <c r="C17" s="1005"/>
    </row>
    <row r="18" spans="1:7">
      <c r="B18" s="421"/>
      <c r="C18" s="1005"/>
    </row>
    <row r="19" spans="1:7">
      <c r="A19" s="412" t="s">
        <v>1111</v>
      </c>
    </row>
    <row r="20" spans="1:7">
      <c r="A20" s="412" t="s">
        <v>1112</v>
      </c>
    </row>
    <row r="21" spans="1:7">
      <c r="A21" s="412" t="s">
        <v>1113</v>
      </c>
    </row>
    <row r="22" spans="1:7">
      <c r="A22" s="412" t="s">
        <v>1114</v>
      </c>
    </row>
    <row r="23" spans="1:7">
      <c r="A23" s="412" t="s">
        <v>1115</v>
      </c>
    </row>
    <row r="24" spans="1:7">
      <c r="A24" s="412" t="s">
        <v>1116</v>
      </c>
      <c r="D24" s="413" t="s">
        <v>1117</v>
      </c>
      <c r="E24" s="413">
        <v>5</v>
      </c>
      <c r="G24" s="993">
        <f>E24*F24</f>
        <v>0</v>
      </c>
    </row>
    <row r="26" spans="1:7">
      <c r="A26" s="412" t="s">
        <v>1118</v>
      </c>
    </row>
    <row r="27" spans="1:7">
      <c r="A27" s="412" t="s">
        <v>1119</v>
      </c>
    </row>
    <row r="28" spans="1:7">
      <c r="A28" s="412" t="s">
        <v>1120</v>
      </c>
      <c r="D28" s="413" t="s">
        <v>1117</v>
      </c>
      <c r="E28" s="413">
        <v>2</v>
      </c>
      <c r="G28" s="993">
        <f>E28*F28</f>
        <v>0</v>
      </c>
    </row>
    <row r="30" spans="1:7">
      <c r="A30" s="412" t="s">
        <v>1121</v>
      </c>
    </row>
    <row r="31" spans="1:7">
      <c r="A31" s="412" t="s">
        <v>1122</v>
      </c>
    </row>
    <row r="32" spans="1:7">
      <c r="B32" s="412" t="s">
        <v>1350</v>
      </c>
      <c r="D32" s="413" t="s">
        <v>11</v>
      </c>
      <c r="E32" s="413">
        <v>5</v>
      </c>
      <c r="G32" s="993">
        <f t="shared" ref="G32:G33" si="0">E32*F32</f>
        <v>0</v>
      </c>
    </row>
    <row r="33" spans="1:7">
      <c r="B33" s="412" t="s">
        <v>1123</v>
      </c>
      <c r="D33" s="413" t="s">
        <v>11</v>
      </c>
      <c r="E33" s="413">
        <v>2</v>
      </c>
      <c r="G33" s="993">
        <f t="shared" si="0"/>
        <v>0</v>
      </c>
    </row>
    <row r="35" spans="1:7">
      <c r="A35" s="412" t="s">
        <v>1124</v>
      </c>
    </row>
    <row r="36" spans="1:7">
      <c r="A36" s="412" t="s">
        <v>1125</v>
      </c>
    </row>
    <row r="37" spans="1:7">
      <c r="A37" s="412" t="s">
        <v>1126</v>
      </c>
    </row>
    <row r="38" spans="1:7">
      <c r="A38" s="412" t="s">
        <v>1127</v>
      </c>
    </row>
    <row r="39" spans="1:7">
      <c r="A39" s="412" t="s">
        <v>1128</v>
      </c>
    </row>
    <row r="40" spans="1:7">
      <c r="A40" s="412" t="s">
        <v>1129</v>
      </c>
    </row>
    <row r="41" spans="1:7">
      <c r="A41" s="412" t="s">
        <v>1113</v>
      </c>
    </row>
    <row r="43" spans="1:7">
      <c r="A43" s="412" t="s">
        <v>1130</v>
      </c>
    </row>
    <row r="44" spans="1:7">
      <c r="A44" s="412" t="s">
        <v>1131</v>
      </c>
    </row>
    <row r="45" spans="1:7">
      <c r="A45" s="412" t="s">
        <v>1132</v>
      </c>
    </row>
    <row r="46" spans="1:7">
      <c r="A46" s="412" t="s">
        <v>1133</v>
      </c>
    </row>
    <row r="47" spans="1:7">
      <c r="D47" s="413" t="s">
        <v>1117</v>
      </c>
      <c r="E47" s="413">
        <v>1</v>
      </c>
      <c r="G47" s="993">
        <f>E47*F47</f>
        <v>0</v>
      </c>
    </row>
    <row r="49" spans="1:7">
      <c r="A49" s="412" t="s">
        <v>1134</v>
      </c>
    </row>
    <row r="50" spans="1:7">
      <c r="A50" s="412" t="s">
        <v>1135</v>
      </c>
    </row>
    <row r="51" spans="1:7">
      <c r="A51" s="412" t="s">
        <v>1136</v>
      </c>
    </row>
    <row r="52" spans="1:7">
      <c r="A52" s="412" t="s">
        <v>1137</v>
      </c>
    </row>
    <row r="53" spans="1:7">
      <c r="A53" s="412" t="s">
        <v>1138</v>
      </c>
    </row>
    <row r="54" spans="1:7">
      <c r="A54" s="412" t="s">
        <v>1139</v>
      </c>
    </row>
    <row r="55" spans="1:7">
      <c r="A55" s="412" t="s">
        <v>1140</v>
      </c>
    </row>
    <row r="56" spans="1:7">
      <c r="A56" s="412" t="s">
        <v>1141</v>
      </c>
    </row>
    <row r="57" spans="1:7">
      <c r="A57" s="412" t="s">
        <v>1142</v>
      </c>
    </row>
    <row r="58" spans="1:7">
      <c r="A58" s="412" t="s">
        <v>1143</v>
      </c>
    </row>
    <row r="59" spans="1:7">
      <c r="D59" s="413" t="s">
        <v>1117</v>
      </c>
      <c r="E59" s="413">
        <v>1</v>
      </c>
      <c r="G59" s="993">
        <f>E59*F59</f>
        <v>0</v>
      </c>
    </row>
    <row r="61" spans="1:7">
      <c r="A61" s="412" t="s">
        <v>1144</v>
      </c>
    </row>
    <row r="62" spans="1:7">
      <c r="A62" s="412" t="s">
        <v>1145</v>
      </c>
    </row>
    <row r="63" spans="1:7">
      <c r="A63" s="412" t="s">
        <v>1146</v>
      </c>
    </row>
    <row r="64" spans="1:7">
      <c r="A64" s="412" t="s">
        <v>1139</v>
      </c>
    </row>
    <row r="65" spans="1:7">
      <c r="A65" s="412" t="s">
        <v>1147</v>
      </c>
    </row>
    <row r="66" spans="1:7">
      <c r="A66" s="412" t="s">
        <v>1148</v>
      </c>
    </row>
    <row r="67" spans="1:7">
      <c r="A67" s="412" t="s">
        <v>1149</v>
      </c>
    </row>
    <row r="68" spans="1:7">
      <c r="A68" s="412" t="s">
        <v>1143</v>
      </c>
    </row>
    <row r="69" spans="1:7">
      <c r="D69" s="413" t="s">
        <v>1117</v>
      </c>
      <c r="E69" s="413">
        <v>1</v>
      </c>
      <c r="G69" s="993">
        <f>E69*F69</f>
        <v>0</v>
      </c>
    </row>
    <row r="71" spans="1:7">
      <c r="A71" s="412" t="s">
        <v>1150</v>
      </c>
    </row>
    <row r="72" spans="1:7">
      <c r="A72" s="412" t="s">
        <v>1151</v>
      </c>
    </row>
    <row r="73" spans="1:7">
      <c r="A73" s="412" t="s">
        <v>1152</v>
      </c>
    </row>
    <row r="74" spans="1:7">
      <c r="A74" s="412" t="s">
        <v>1153</v>
      </c>
    </row>
    <row r="75" spans="1:7">
      <c r="A75" s="412" t="s">
        <v>1139</v>
      </c>
    </row>
    <row r="76" spans="1:7">
      <c r="B76" s="412" t="s">
        <v>1154</v>
      </c>
      <c r="D76" s="413" t="s">
        <v>11</v>
      </c>
      <c r="E76" s="413">
        <v>9</v>
      </c>
      <c r="G76" s="993">
        <f t="shared" ref="G76:G77" si="1">E76*F76</f>
        <v>0</v>
      </c>
    </row>
    <row r="77" spans="1:7">
      <c r="B77" s="412" t="s">
        <v>1155</v>
      </c>
      <c r="D77" s="413" t="s">
        <v>11</v>
      </c>
      <c r="E77" s="413">
        <v>1</v>
      </c>
      <c r="G77" s="993">
        <f t="shared" si="1"/>
        <v>0</v>
      </c>
    </row>
    <row r="79" spans="1:7">
      <c r="A79" s="412" t="s">
        <v>1156</v>
      </c>
    </row>
    <row r="80" spans="1:7">
      <c r="A80" s="412" t="s">
        <v>1157</v>
      </c>
    </row>
    <row r="81" spans="1:7">
      <c r="A81" s="412" t="s">
        <v>1158</v>
      </c>
    </row>
    <row r="82" spans="1:7">
      <c r="A82" s="412" t="s">
        <v>1159</v>
      </c>
    </row>
    <row r="83" spans="1:7">
      <c r="A83" s="412" t="s">
        <v>1139</v>
      </c>
    </row>
    <row r="84" spans="1:7">
      <c r="A84" s="412" t="s">
        <v>1160</v>
      </c>
    </row>
    <row r="85" spans="1:7">
      <c r="A85" s="412" t="s">
        <v>1161</v>
      </c>
      <c r="D85" s="413" t="s">
        <v>11</v>
      </c>
      <c r="E85" s="413">
        <v>9</v>
      </c>
      <c r="G85" s="993">
        <f>E85*F85</f>
        <v>0</v>
      </c>
    </row>
    <row r="88" spans="1:7">
      <c r="A88" s="412" t="s">
        <v>1162</v>
      </c>
    </row>
    <row r="89" spans="1:7">
      <c r="A89" s="412" t="s">
        <v>1163</v>
      </c>
    </row>
    <row r="90" spans="1:7">
      <c r="A90" s="412" t="s">
        <v>1164</v>
      </c>
    </row>
    <row r="91" spans="1:7">
      <c r="B91" s="412" t="s">
        <v>1165</v>
      </c>
      <c r="D91" s="413" t="s">
        <v>11</v>
      </c>
      <c r="E91" s="413">
        <v>1</v>
      </c>
      <c r="G91" s="993">
        <f t="shared" ref="G91:G92" si="2">E91*F91</f>
        <v>0</v>
      </c>
    </row>
    <row r="92" spans="1:7">
      <c r="B92" s="412" t="s">
        <v>1166</v>
      </c>
      <c r="D92" s="413" t="s">
        <v>11</v>
      </c>
      <c r="E92" s="413">
        <v>1</v>
      </c>
      <c r="G92" s="993">
        <f t="shared" si="2"/>
        <v>0</v>
      </c>
    </row>
    <row r="94" spans="1:7">
      <c r="A94" s="412" t="s">
        <v>1167</v>
      </c>
    </row>
    <row r="95" spans="1:7">
      <c r="A95" s="412" t="s">
        <v>1168</v>
      </c>
    </row>
    <row r="96" spans="1:7">
      <c r="B96" s="412" t="s">
        <v>1169</v>
      </c>
      <c r="D96" s="413" t="s">
        <v>11</v>
      </c>
      <c r="E96" s="413">
        <v>5</v>
      </c>
      <c r="G96" s="993">
        <f t="shared" ref="G96:G97" si="3">E96*F96</f>
        <v>0</v>
      </c>
    </row>
    <row r="97" spans="1:7">
      <c r="B97" s="412" t="s">
        <v>1170</v>
      </c>
      <c r="D97" s="413" t="s">
        <v>11</v>
      </c>
      <c r="E97" s="413">
        <v>2</v>
      </c>
      <c r="G97" s="993">
        <f t="shared" si="3"/>
        <v>0</v>
      </c>
    </row>
    <row r="99" spans="1:7">
      <c r="A99" s="412" t="s">
        <v>1171</v>
      </c>
    </row>
    <row r="100" spans="1:7">
      <c r="A100" s="412" t="s">
        <v>1172</v>
      </c>
    </row>
    <row r="101" spans="1:7">
      <c r="B101" s="412" t="s">
        <v>1169</v>
      </c>
      <c r="D101" s="413" t="s">
        <v>514</v>
      </c>
      <c r="E101" s="413">
        <v>25</v>
      </c>
      <c r="G101" s="993">
        <f t="shared" ref="G101:G102" si="4">E101*F101</f>
        <v>0</v>
      </c>
    </row>
    <row r="102" spans="1:7">
      <c r="B102" s="412" t="s">
        <v>1170</v>
      </c>
      <c r="D102" s="413" t="s">
        <v>514</v>
      </c>
      <c r="E102" s="413">
        <v>18</v>
      </c>
      <c r="G102" s="993">
        <f t="shared" si="4"/>
        <v>0</v>
      </c>
    </row>
    <row r="104" spans="1:7">
      <c r="A104" s="412" t="s">
        <v>1173</v>
      </c>
    </row>
    <row r="105" spans="1:7">
      <c r="A105" s="412" t="s">
        <v>1174</v>
      </c>
    </row>
    <row r="106" spans="1:7">
      <c r="A106" s="412" t="s">
        <v>1175</v>
      </c>
    </row>
    <row r="107" spans="1:7">
      <c r="A107" s="412" t="s">
        <v>1176</v>
      </c>
    </row>
    <row r="108" spans="1:7">
      <c r="A108" s="412" t="s">
        <v>1177</v>
      </c>
    </row>
    <row r="109" spans="1:7">
      <c r="A109" s="412" t="s">
        <v>1178</v>
      </c>
    </row>
    <row r="110" spans="1:7">
      <c r="A110" s="412" t="s">
        <v>1179</v>
      </c>
    </row>
    <row r="111" spans="1:7">
      <c r="B111" s="412" t="s">
        <v>1180</v>
      </c>
      <c r="D111" s="413" t="s">
        <v>514</v>
      </c>
      <c r="E111" s="413">
        <v>4</v>
      </c>
      <c r="G111" s="993">
        <f t="shared" ref="G111:G115" si="5">E111*F111</f>
        <v>0</v>
      </c>
    </row>
    <row r="112" spans="1:7">
      <c r="B112" s="412" t="s">
        <v>1181</v>
      </c>
      <c r="D112" s="413" t="s">
        <v>514</v>
      </c>
      <c r="E112" s="413">
        <v>6</v>
      </c>
      <c r="G112" s="993">
        <f t="shared" si="5"/>
        <v>0</v>
      </c>
    </row>
    <row r="113" spans="1:7">
      <c r="B113" s="412" t="s">
        <v>1182</v>
      </c>
      <c r="D113" s="413" t="s">
        <v>514</v>
      </c>
      <c r="E113" s="413">
        <v>3</v>
      </c>
      <c r="G113" s="993">
        <f t="shared" si="5"/>
        <v>0</v>
      </c>
    </row>
    <row r="114" spans="1:7">
      <c r="B114" s="415" t="s">
        <v>1183</v>
      </c>
      <c r="C114" s="1006"/>
      <c r="D114" s="416" t="s">
        <v>514</v>
      </c>
      <c r="E114" s="416">
        <v>3</v>
      </c>
      <c r="G114" s="993">
        <f t="shared" si="5"/>
        <v>0</v>
      </c>
    </row>
    <row r="115" spans="1:7">
      <c r="B115" s="412" t="s">
        <v>1184</v>
      </c>
      <c r="D115" s="413" t="s">
        <v>46</v>
      </c>
      <c r="E115" s="413">
        <v>200</v>
      </c>
      <c r="G115" s="993">
        <f t="shared" si="5"/>
        <v>0</v>
      </c>
    </row>
    <row r="117" spans="1:7">
      <c r="A117" s="412" t="s">
        <v>1185</v>
      </c>
    </row>
    <row r="118" spans="1:7">
      <c r="A118" s="412" t="s">
        <v>1186</v>
      </c>
    </row>
    <row r="119" spans="1:7">
      <c r="A119" s="412" t="s">
        <v>1187</v>
      </c>
    </row>
    <row r="120" spans="1:7">
      <c r="A120" s="412" t="s">
        <v>1188</v>
      </c>
    </row>
    <row r="121" spans="1:7">
      <c r="D121" s="413" t="s">
        <v>46</v>
      </c>
      <c r="E121" s="413">
        <v>50</v>
      </c>
      <c r="G121" s="993">
        <f>E121*F121</f>
        <v>0</v>
      </c>
    </row>
    <row r="123" spans="1:7">
      <c r="A123" s="412" t="s">
        <v>1189</v>
      </c>
    </row>
    <row r="124" spans="1:7">
      <c r="A124" s="412" t="s">
        <v>1190</v>
      </c>
    </row>
    <row r="125" spans="1:7">
      <c r="A125" s="412" t="s">
        <v>1191</v>
      </c>
    </row>
    <row r="126" spans="1:7">
      <c r="D126" s="413" t="s">
        <v>12</v>
      </c>
      <c r="E126" s="413">
        <v>10</v>
      </c>
      <c r="G126" s="993">
        <f>E126*F126</f>
        <v>0</v>
      </c>
    </row>
    <row r="128" spans="1:7">
      <c r="A128" s="412" t="s">
        <v>1192</v>
      </c>
    </row>
    <row r="129" spans="1:7">
      <c r="A129" s="412" t="s">
        <v>1193</v>
      </c>
    </row>
    <row r="130" spans="1:7">
      <c r="A130" s="412" t="s">
        <v>1194</v>
      </c>
    </row>
    <row r="131" spans="1:7">
      <c r="A131" s="412" t="s">
        <v>1195</v>
      </c>
    </row>
    <row r="132" spans="1:7">
      <c r="D132" s="413" t="s">
        <v>1117</v>
      </c>
      <c r="E132" s="413">
        <v>1</v>
      </c>
      <c r="G132" s="993">
        <f>E132*F132</f>
        <v>0</v>
      </c>
    </row>
    <row r="134" spans="1:7">
      <c r="A134" s="412" t="s">
        <v>1196</v>
      </c>
    </row>
    <row r="135" spans="1:7">
      <c r="A135" s="412" t="s">
        <v>1197</v>
      </c>
    </row>
    <row r="136" spans="1:7">
      <c r="D136" s="413" t="s">
        <v>1117</v>
      </c>
      <c r="E136" s="412">
        <v>1</v>
      </c>
      <c r="G136" s="993">
        <f>E136*F136</f>
        <v>0</v>
      </c>
    </row>
    <row r="138" spans="1:7">
      <c r="A138" s="412" t="s">
        <v>1198</v>
      </c>
    </row>
    <row r="139" spans="1:7">
      <c r="A139" s="412" t="s">
        <v>1199</v>
      </c>
    </row>
    <row r="140" spans="1:7">
      <c r="A140" s="412" t="s">
        <v>1200</v>
      </c>
    </row>
    <row r="141" spans="1:7">
      <c r="A141" s="412" t="s">
        <v>1201</v>
      </c>
    </row>
    <row r="142" spans="1:7">
      <c r="A142" s="412" t="s">
        <v>1202</v>
      </c>
    </row>
    <row r="143" spans="1:7">
      <c r="A143" s="412" t="s">
        <v>1203</v>
      </c>
    </row>
    <row r="144" spans="1:7">
      <c r="A144" s="412" t="s">
        <v>1204</v>
      </c>
    </row>
    <row r="145" spans="1:7">
      <c r="D145" s="413" t="s">
        <v>1117</v>
      </c>
      <c r="E145" s="412">
        <v>1</v>
      </c>
      <c r="G145" s="993">
        <f>E145*F145</f>
        <v>0</v>
      </c>
    </row>
    <row r="147" spans="1:7">
      <c r="A147" s="412" t="s">
        <v>1205</v>
      </c>
    </row>
    <row r="148" spans="1:7">
      <c r="A148" s="412" t="s">
        <v>1206</v>
      </c>
    </row>
    <row r="149" spans="1:7">
      <c r="A149" s="412" t="s">
        <v>1207</v>
      </c>
    </row>
    <row r="150" spans="1:7">
      <c r="D150" s="413" t="s">
        <v>1117</v>
      </c>
      <c r="E150" s="412">
        <v>1</v>
      </c>
      <c r="G150" s="993">
        <f>E150*F150</f>
        <v>0</v>
      </c>
    </row>
    <row r="152" spans="1:7">
      <c r="A152" s="412" t="s">
        <v>1208</v>
      </c>
    </row>
    <row r="153" spans="1:7">
      <c r="A153" s="412" t="s">
        <v>1209</v>
      </c>
    </row>
    <row r="154" spans="1:7">
      <c r="A154" s="412" t="s">
        <v>1210</v>
      </c>
    </row>
    <row r="155" spans="1:7">
      <c r="A155" s="412" t="s">
        <v>1211</v>
      </c>
    </row>
    <row r="156" spans="1:7">
      <c r="A156" s="412" t="s">
        <v>1212</v>
      </c>
    </row>
    <row r="157" spans="1:7">
      <c r="A157" s="412" t="s">
        <v>1213</v>
      </c>
    </row>
    <row r="158" spans="1:7">
      <c r="D158" s="413" t="s">
        <v>1117</v>
      </c>
      <c r="E158" s="412">
        <v>1</v>
      </c>
      <c r="G158" s="993">
        <f>E158*F158</f>
        <v>0</v>
      </c>
    </row>
    <row r="160" spans="1:7">
      <c r="A160" s="412" t="s">
        <v>1214</v>
      </c>
    </row>
    <row r="161" spans="1:7">
      <c r="A161" s="412" t="s">
        <v>1215</v>
      </c>
    </row>
    <row r="162" spans="1:7">
      <c r="A162" s="412" t="s">
        <v>1216</v>
      </c>
    </row>
    <row r="163" spans="1:7">
      <c r="A163" s="412" t="s">
        <v>1217</v>
      </c>
    </row>
    <row r="164" spans="1:7">
      <c r="A164" s="412" t="s">
        <v>1218</v>
      </c>
    </row>
    <row r="165" spans="1:7">
      <c r="A165" s="412" t="s">
        <v>1219</v>
      </c>
    </row>
    <row r="166" spans="1:7">
      <c r="A166" s="412" t="s">
        <v>1220</v>
      </c>
    </row>
    <row r="167" spans="1:7">
      <c r="D167" s="413" t="s">
        <v>1117</v>
      </c>
      <c r="E167" s="412">
        <v>1</v>
      </c>
      <c r="G167" s="993">
        <f>E167*F167</f>
        <v>0</v>
      </c>
    </row>
    <row r="169" spans="1:7">
      <c r="A169" s="417"/>
      <c r="B169" s="417"/>
      <c r="C169" s="1007"/>
      <c r="D169" s="418"/>
      <c r="E169" s="418"/>
      <c r="F169" s="1013"/>
      <c r="G169" s="995"/>
    </row>
    <row r="170" spans="1:7">
      <c r="B170" s="412" t="s">
        <v>1221</v>
      </c>
      <c r="G170" s="993">
        <f>SUM(G21:G169)</f>
        <v>0</v>
      </c>
    </row>
    <row r="171" spans="1:7">
      <c r="A171" s="415"/>
      <c r="B171" s="415"/>
      <c r="C171" s="1006"/>
      <c r="D171" s="416"/>
      <c r="E171" s="416"/>
      <c r="F171" s="1014"/>
      <c r="G171" s="996"/>
    </row>
    <row r="174" spans="1:7">
      <c r="B174" s="421" t="s">
        <v>1222</v>
      </c>
      <c r="C174" s="1005"/>
    </row>
    <row r="176" spans="1:7">
      <c r="A176" s="412" t="s">
        <v>1223</v>
      </c>
    </row>
    <row r="177" spans="1:7">
      <c r="A177" s="412" t="s">
        <v>1224</v>
      </c>
    </row>
    <row r="178" spans="1:7">
      <c r="A178" s="412" t="s">
        <v>1225</v>
      </c>
    </row>
    <row r="179" spans="1:7">
      <c r="D179" s="413" t="s">
        <v>1117</v>
      </c>
      <c r="E179" s="412">
        <v>1</v>
      </c>
      <c r="G179" s="993">
        <f>E179*F179</f>
        <v>0</v>
      </c>
    </row>
    <row r="181" spans="1:7">
      <c r="A181" s="412" t="s">
        <v>1226</v>
      </c>
    </row>
    <row r="182" spans="1:7">
      <c r="A182" s="412" t="s">
        <v>1227</v>
      </c>
    </row>
    <row r="183" spans="1:7">
      <c r="A183" s="412" t="s">
        <v>1228</v>
      </c>
    </row>
    <row r="184" spans="1:7">
      <c r="A184" s="412" t="s">
        <v>1229</v>
      </c>
    </row>
    <row r="185" spans="1:7">
      <c r="D185" s="413" t="s">
        <v>1117</v>
      </c>
      <c r="E185" s="412">
        <v>1</v>
      </c>
      <c r="G185" s="993">
        <f>E185*F185</f>
        <v>0</v>
      </c>
    </row>
    <row r="187" spans="1:7">
      <c r="A187" s="412" t="s">
        <v>1230</v>
      </c>
    </row>
    <row r="188" spans="1:7">
      <c r="A188" s="412" t="s">
        <v>1231</v>
      </c>
    </row>
    <row r="189" spans="1:7">
      <c r="A189" s="412" t="s">
        <v>1232</v>
      </c>
    </row>
    <row r="190" spans="1:7">
      <c r="A190" s="412" t="s">
        <v>1233</v>
      </c>
    </row>
    <row r="191" spans="1:7">
      <c r="A191" s="412" t="s">
        <v>1113</v>
      </c>
    </row>
    <row r="193" spans="1:7">
      <c r="A193" s="412" t="s">
        <v>1234</v>
      </c>
      <c r="D193" s="413" t="s">
        <v>1235</v>
      </c>
      <c r="E193" s="413">
        <v>379</v>
      </c>
      <c r="G193" s="993">
        <f>E193*F193</f>
        <v>0</v>
      </c>
    </row>
    <row r="194" spans="1:7">
      <c r="A194" s="412" t="s">
        <v>1236</v>
      </c>
    </row>
    <row r="195" spans="1:7">
      <c r="A195" s="412" t="s">
        <v>1237</v>
      </c>
    </row>
    <row r="196" spans="1:7">
      <c r="A196" s="412" t="s">
        <v>1238</v>
      </c>
    </row>
    <row r="197" spans="1:7">
      <c r="A197" s="412" t="s">
        <v>1239</v>
      </c>
      <c r="D197" s="413" t="s">
        <v>11</v>
      </c>
      <c r="E197" s="413">
        <v>28</v>
      </c>
      <c r="G197" s="993">
        <f t="shared" ref="G197:G198" si="6">E197*F197</f>
        <v>0</v>
      </c>
    </row>
    <row r="198" spans="1:7">
      <c r="A198" s="412" t="s">
        <v>1240</v>
      </c>
      <c r="D198" s="413" t="s">
        <v>11</v>
      </c>
      <c r="E198" s="413">
        <v>28</v>
      </c>
      <c r="G198" s="993">
        <f t="shared" si="6"/>
        <v>0</v>
      </c>
    </row>
    <row r="200" spans="1:7">
      <c r="A200" s="412" t="s">
        <v>1241</v>
      </c>
      <c r="D200" s="413" t="s">
        <v>1235</v>
      </c>
      <c r="E200" s="413">
        <v>229</v>
      </c>
      <c r="G200" s="993">
        <f>E200*F200</f>
        <v>0</v>
      </c>
    </row>
    <row r="201" spans="1:7">
      <c r="A201" s="412" t="s">
        <v>1242</v>
      </c>
    </row>
    <row r="202" spans="1:7">
      <c r="A202" s="412" t="s">
        <v>1237</v>
      </c>
    </row>
    <row r="203" spans="1:7">
      <c r="A203" s="412" t="s">
        <v>1238</v>
      </c>
    </row>
    <row r="204" spans="1:7">
      <c r="A204" s="412" t="s">
        <v>1243</v>
      </c>
      <c r="D204" s="413" t="s">
        <v>11</v>
      </c>
      <c r="E204" s="413">
        <v>12</v>
      </c>
      <c r="G204" s="993">
        <f t="shared" ref="G204:G205" si="7">E204*F204</f>
        <v>0</v>
      </c>
    </row>
    <row r="205" spans="1:7">
      <c r="A205" s="412" t="s">
        <v>1240</v>
      </c>
      <c r="D205" s="413" t="s">
        <v>11</v>
      </c>
      <c r="E205" s="413">
        <v>12</v>
      </c>
      <c r="G205" s="993">
        <f t="shared" si="7"/>
        <v>0</v>
      </c>
    </row>
    <row r="207" spans="1:7">
      <c r="A207" s="412" t="s">
        <v>1244</v>
      </c>
    </row>
    <row r="208" spans="1:7">
      <c r="A208" s="412" t="s">
        <v>1245</v>
      </c>
    </row>
    <row r="209" spans="1:7">
      <c r="D209" s="413" t="s">
        <v>11</v>
      </c>
      <c r="E209" s="413">
        <v>34</v>
      </c>
      <c r="G209" s="993">
        <f>E209*F209</f>
        <v>0</v>
      </c>
    </row>
    <row r="211" spans="1:7">
      <c r="A211" s="412" t="s">
        <v>1246</v>
      </c>
    </row>
    <row r="212" spans="1:7">
      <c r="A212" s="412" t="s">
        <v>1247</v>
      </c>
    </row>
    <row r="213" spans="1:7">
      <c r="D213" s="413" t="s">
        <v>11</v>
      </c>
      <c r="E213" s="413">
        <v>34</v>
      </c>
      <c r="G213" s="993">
        <f>E213*F213</f>
        <v>0</v>
      </c>
    </row>
    <row r="215" spans="1:7">
      <c r="A215" s="412" t="s">
        <v>1248</v>
      </c>
    </row>
    <row r="216" spans="1:7">
      <c r="A216" s="412" t="s">
        <v>1249</v>
      </c>
    </row>
    <row r="217" spans="1:7">
      <c r="B217" s="412" t="s">
        <v>1250</v>
      </c>
      <c r="D217" s="413" t="s">
        <v>514</v>
      </c>
      <c r="E217" s="413">
        <v>60</v>
      </c>
      <c r="G217" s="993">
        <f t="shared" ref="G217:G220" si="8">E217*F217</f>
        <v>0</v>
      </c>
    </row>
    <row r="218" spans="1:7">
      <c r="B218" s="412" t="s">
        <v>1251</v>
      </c>
      <c r="D218" s="413" t="s">
        <v>514</v>
      </c>
      <c r="E218" s="413">
        <v>70</v>
      </c>
      <c r="G218" s="993">
        <f t="shared" si="8"/>
        <v>0</v>
      </c>
    </row>
    <row r="219" spans="1:7">
      <c r="B219" s="412" t="s">
        <v>1252</v>
      </c>
      <c r="D219" s="413" t="s">
        <v>514</v>
      </c>
      <c r="E219" s="413">
        <v>70</v>
      </c>
      <c r="G219" s="993">
        <f t="shared" si="8"/>
        <v>0</v>
      </c>
    </row>
    <row r="220" spans="1:7">
      <c r="B220" s="412" t="s">
        <v>1253</v>
      </c>
      <c r="D220" s="413" t="s">
        <v>514</v>
      </c>
      <c r="E220" s="413">
        <v>100</v>
      </c>
      <c r="G220" s="993">
        <f t="shared" si="8"/>
        <v>0</v>
      </c>
    </row>
    <row r="222" spans="1:7">
      <c r="A222" s="412" t="s">
        <v>1254</v>
      </c>
    </row>
    <row r="223" spans="1:7">
      <c r="D223" s="413" t="s">
        <v>11</v>
      </c>
      <c r="E223" s="413">
        <v>3</v>
      </c>
      <c r="G223" s="993">
        <f>E223*F223</f>
        <v>0</v>
      </c>
    </row>
    <row r="225" spans="1:7">
      <c r="A225" s="412" t="s">
        <v>1255</v>
      </c>
    </row>
    <row r="226" spans="1:7">
      <c r="A226" s="412" t="s">
        <v>1256</v>
      </c>
    </row>
    <row r="227" spans="1:7">
      <c r="A227" s="412" t="s">
        <v>1257</v>
      </c>
    </row>
    <row r="228" spans="1:7">
      <c r="D228" s="413" t="s">
        <v>11</v>
      </c>
      <c r="E228" s="413">
        <v>34</v>
      </c>
      <c r="G228" s="993">
        <f>E228*F228</f>
        <v>0</v>
      </c>
    </row>
    <row r="230" spans="1:7">
      <c r="A230" s="412" t="s">
        <v>1258</v>
      </c>
    </row>
    <row r="231" spans="1:7">
      <c r="A231" s="412" t="s">
        <v>1259</v>
      </c>
    </row>
    <row r="232" spans="1:7">
      <c r="D232" s="413" t="s">
        <v>11</v>
      </c>
      <c r="E232" s="413">
        <v>34</v>
      </c>
      <c r="G232" s="993">
        <f>E232*F232</f>
        <v>0</v>
      </c>
    </row>
    <row r="234" spans="1:7">
      <c r="A234" s="412" t="s">
        <v>1260</v>
      </c>
    </row>
    <row r="235" spans="1:7">
      <c r="A235" s="412" t="s">
        <v>1261</v>
      </c>
    </row>
    <row r="236" spans="1:7">
      <c r="A236" s="412" t="s">
        <v>1262</v>
      </c>
    </row>
    <row r="237" spans="1:7">
      <c r="A237" s="412" t="s">
        <v>1263</v>
      </c>
    </row>
    <row r="238" spans="1:7">
      <c r="A238" s="412" t="s">
        <v>1264</v>
      </c>
    </row>
    <row r="239" spans="1:7">
      <c r="A239" s="412" t="s">
        <v>1265</v>
      </c>
    </row>
    <row r="240" spans="1:7">
      <c r="A240" s="412" t="s">
        <v>1266</v>
      </c>
    </row>
    <row r="241" spans="1:7">
      <c r="D241" s="413" t="s">
        <v>1117</v>
      </c>
      <c r="E241" s="413">
        <v>1</v>
      </c>
      <c r="G241" s="993">
        <f>E241*F241</f>
        <v>0</v>
      </c>
    </row>
    <row r="243" spans="1:7">
      <c r="A243" s="412" t="s">
        <v>1267</v>
      </c>
    </row>
    <row r="244" spans="1:7">
      <c r="A244" s="412" t="s">
        <v>1268</v>
      </c>
    </row>
    <row r="245" spans="1:7">
      <c r="D245" s="413" t="s">
        <v>514</v>
      </c>
      <c r="E245" s="413">
        <v>300</v>
      </c>
      <c r="G245" s="993">
        <f>E245*F245</f>
        <v>0</v>
      </c>
    </row>
    <row r="247" spans="1:7">
      <c r="A247" s="412" t="s">
        <v>1269</v>
      </c>
    </row>
    <row r="248" spans="1:7">
      <c r="A248" s="412" t="s">
        <v>1270</v>
      </c>
    </row>
    <row r="249" spans="1:7">
      <c r="D249" s="413" t="s">
        <v>514</v>
      </c>
      <c r="E249" s="413">
        <v>10</v>
      </c>
      <c r="G249" s="993">
        <f>E249*F249</f>
        <v>0</v>
      </c>
    </row>
    <row r="251" spans="1:7">
      <c r="A251" s="412" t="s">
        <v>1271</v>
      </c>
    </row>
    <row r="252" spans="1:7">
      <c r="B252" s="412" t="s">
        <v>1272</v>
      </c>
      <c r="D252" s="413" t="s">
        <v>11</v>
      </c>
      <c r="E252" s="413">
        <v>2</v>
      </c>
      <c r="G252" s="993">
        <f t="shared" ref="G252:G253" si="9">E252*F252</f>
        <v>0</v>
      </c>
    </row>
    <row r="253" spans="1:7">
      <c r="B253" s="412" t="s">
        <v>1273</v>
      </c>
      <c r="D253" s="413" t="s">
        <v>11</v>
      </c>
      <c r="E253" s="413">
        <v>1</v>
      </c>
      <c r="G253" s="993">
        <f t="shared" si="9"/>
        <v>0</v>
      </c>
    </row>
    <row r="255" spans="1:7">
      <c r="A255" s="412" t="s">
        <v>1274</v>
      </c>
    </row>
    <row r="256" spans="1:7">
      <c r="A256" s="412" t="s">
        <v>1275</v>
      </c>
    </row>
    <row r="257" spans="1:7">
      <c r="D257" s="413" t="s">
        <v>1117</v>
      </c>
      <c r="E257" s="413">
        <v>1</v>
      </c>
      <c r="G257" s="993">
        <f>E257*F257</f>
        <v>0</v>
      </c>
    </row>
    <row r="259" spans="1:7">
      <c r="A259" s="412" t="s">
        <v>1276</v>
      </c>
    </row>
    <row r="260" spans="1:7">
      <c r="A260" s="412" t="s">
        <v>1277</v>
      </c>
    </row>
    <row r="261" spans="1:7">
      <c r="A261" s="412" t="s">
        <v>1278</v>
      </c>
    </row>
    <row r="262" spans="1:7">
      <c r="A262" s="412" t="s">
        <v>1279</v>
      </c>
    </row>
    <row r="263" spans="1:7">
      <c r="A263" s="412" t="s">
        <v>1280</v>
      </c>
    </row>
    <row r="264" spans="1:7">
      <c r="D264" s="413" t="s">
        <v>1117</v>
      </c>
      <c r="E264" s="413">
        <v>1</v>
      </c>
      <c r="G264" s="993">
        <f>E264*F264</f>
        <v>0</v>
      </c>
    </row>
    <row r="266" spans="1:7">
      <c r="A266" s="417"/>
      <c r="B266" s="417"/>
      <c r="C266" s="1007"/>
      <c r="D266" s="418"/>
      <c r="E266" s="418"/>
      <c r="F266" s="1013"/>
      <c r="G266" s="995"/>
    </row>
    <row r="267" spans="1:7">
      <c r="B267" s="412" t="s">
        <v>1281</v>
      </c>
      <c r="G267" s="993">
        <f>SUM(G176:G266)</f>
        <v>0</v>
      </c>
    </row>
    <row r="268" spans="1:7">
      <c r="A268" s="415"/>
      <c r="B268" s="415"/>
      <c r="C268" s="1006"/>
      <c r="D268" s="416"/>
      <c r="E268" s="416"/>
      <c r="F268" s="1014"/>
      <c r="G268" s="996"/>
    </row>
    <row r="271" spans="1:7">
      <c r="B271" s="421" t="s">
        <v>1282</v>
      </c>
      <c r="C271" s="1005"/>
    </row>
    <row r="273" spans="1:1">
      <c r="A273" s="412" t="s">
        <v>1283</v>
      </c>
    </row>
    <row r="274" spans="1:1">
      <c r="A274" s="412" t="s">
        <v>1284</v>
      </c>
    </row>
    <row r="275" spans="1:1">
      <c r="A275" s="412" t="s">
        <v>1285</v>
      </c>
    </row>
    <row r="276" spans="1:1">
      <c r="A276" s="412" t="s">
        <v>1286</v>
      </c>
    </row>
    <row r="277" spans="1:1">
      <c r="A277" s="412" t="s">
        <v>1287</v>
      </c>
    </row>
    <row r="278" spans="1:1">
      <c r="A278" s="412" t="s">
        <v>1288</v>
      </c>
    </row>
    <row r="279" spans="1:1">
      <c r="A279" s="412" t="s">
        <v>1289</v>
      </c>
    </row>
    <row r="280" spans="1:1">
      <c r="A280" s="412" t="s">
        <v>1290</v>
      </c>
    </row>
    <row r="281" spans="1:1">
      <c r="A281" s="412" t="s">
        <v>1291</v>
      </c>
    </row>
    <row r="282" spans="1:1">
      <c r="A282" s="412" t="s">
        <v>1292</v>
      </c>
    </row>
    <row r="283" spans="1:1">
      <c r="A283" s="412" t="s">
        <v>1293</v>
      </c>
    </row>
    <row r="284" spans="1:1">
      <c r="A284" s="412" t="s">
        <v>1294</v>
      </c>
    </row>
    <row r="285" spans="1:1">
      <c r="A285" s="412" t="s">
        <v>1295</v>
      </c>
    </row>
    <row r="286" spans="1:1">
      <c r="A286" s="412" t="s">
        <v>1296</v>
      </c>
    </row>
    <row r="288" spans="1:1">
      <c r="A288" s="412" t="s">
        <v>1297</v>
      </c>
    </row>
    <row r="289" spans="1:1">
      <c r="A289" s="412" t="s">
        <v>1298</v>
      </c>
    </row>
    <row r="290" spans="1:1">
      <c r="A290" s="412" t="s">
        <v>1299</v>
      </c>
    </row>
    <row r="291" spans="1:1">
      <c r="A291" s="412" t="s">
        <v>1300</v>
      </c>
    </row>
    <row r="292" spans="1:1">
      <c r="A292" s="412" t="s">
        <v>1301</v>
      </c>
    </row>
    <row r="293" spans="1:1">
      <c r="A293" s="412" t="s">
        <v>1302</v>
      </c>
    </row>
    <row r="294" spans="1:1">
      <c r="A294" s="412" t="s">
        <v>1303</v>
      </c>
    </row>
    <row r="295" spans="1:1">
      <c r="A295" s="412" t="s">
        <v>1304</v>
      </c>
    </row>
    <row r="296" spans="1:1">
      <c r="A296" s="412" t="s">
        <v>1305</v>
      </c>
    </row>
    <row r="297" spans="1:1">
      <c r="A297" s="412" t="s">
        <v>1306</v>
      </c>
    </row>
    <row r="298" spans="1:1">
      <c r="A298" s="412" t="s">
        <v>1307</v>
      </c>
    </row>
    <row r="300" spans="1:1">
      <c r="A300" s="412" t="s">
        <v>1308</v>
      </c>
    </row>
    <row r="301" spans="1:1">
      <c r="A301" s="412" t="s">
        <v>1303</v>
      </c>
    </row>
    <row r="302" spans="1:1">
      <c r="A302" s="412" t="s">
        <v>1304</v>
      </c>
    </row>
    <row r="303" spans="1:1">
      <c r="A303" s="412" t="s">
        <v>1305</v>
      </c>
    </row>
    <row r="304" spans="1:1">
      <c r="A304" s="412" t="s">
        <v>1306</v>
      </c>
    </row>
    <row r="305" spans="1:7">
      <c r="A305" s="412" t="s">
        <v>1307</v>
      </c>
    </row>
    <row r="306" spans="1:7">
      <c r="D306" s="413" t="s">
        <v>1117</v>
      </c>
      <c r="E306" s="413">
        <v>1</v>
      </c>
      <c r="G306" s="993">
        <f>E306*F306</f>
        <v>0</v>
      </c>
    </row>
    <row r="309" spans="1:7">
      <c r="A309" s="412" t="s">
        <v>1309</v>
      </c>
    </row>
    <row r="310" spans="1:7">
      <c r="A310" s="412" t="s">
        <v>1310</v>
      </c>
    </row>
    <row r="311" spans="1:7">
      <c r="A311" s="412" t="s">
        <v>1284</v>
      </c>
    </row>
    <row r="312" spans="1:7">
      <c r="A312" s="412" t="s">
        <v>1285</v>
      </c>
    </row>
    <row r="313" spans="1:7">
      <c r="A313" s="412" t="s">
        <v>1311</v>
      </c>
    </row>
    <row r="314" spans="1:7">
      <c r="A314" s="412" t="s">
        <v>1312</v>
      </c>
    </row>
    <row r="315" spans="1:7">
      <c r="A315" s="412" t="s">
        <v>1313</v>
      </c>
    </row>
    <row r="316" spans="1:7">
      <c r="A316" s="412" t="s">
        <v>1289</v>
      </c>
    </row>
    <row r="317" spans="1:7">
      <c r="A317" s="412" t="s">
        <v>1290</v>
      </c>
    </row>
    <row r="318" spans="1:7">
      <c r="A318" s="412" t="s">
        <v>1291</v>
      </c>
    </row>
    <row r="319" spans="1:7">
      <c r="A319" s="412" t="s">
        <v>1292</v>
      </c>
    </row>
    <row r="320" spans="1:7">
      <c r="A320" s="412" t="s">
        <v>1293</v>
      </c>
    </row>
    <row r="321" spans="1:1">
      <c r="A321" s="412" t="s">
        <v>1294</v>
      </c>
    </row>
    <row r="322" spans="1:1">
      <c r="A322" s="412" t="s">
        <v>1295</v>
      </c>
    </row>
    <row r="323" spans="1:1">
      <c r="A323" s="412" t="s">
        <v>1296</v>
      </c>
    </row>
    <row r="325" spans="1:1">
      <c r="A325" s="412" t="s">
        <v>1314</v>
      </c>
    </row>
    <row r="326" spans="1:1">
      <c r="A326" s="412" t="s">
        <v>1315</v>
      </c>
    </row>
    <row r="327" spans="1:1">
      <c r="A327" s="412" t="s">
        <v>1316</v>
      </c>
    </row>
    <row r="328" spans="1:1">
      <c r="A328" s="412" t="s">
        <v>1317</v>
      </c>
    </row>
    <row r="329" spans="1:1">
      <c r="A329" s="412" t="s">
        <v>1301</v>
      </c>
    </row>
    <row r="330" spans="1:1">
      <c r="A330" s="412" t="s">
        <v>1302</v>
      </c>
    </row>
    <row r="331" spans="1:1">
      <c r="A331" s="412" t="s">
        <v>1303</v>
      </c>
    </row>
    <row r="332" spans="1:1">
      <c r="A332" s="412" t="s">
        <v>1304</v>
      </c>
    </row>
    <row r="333" spans="1:1">
      <c r="A333" s="412" t="s">
        <v>1305</v>
      </c>
    </row>
    <row r="334" spans="1:1">
      <c r="A334" s="412" t="s">
        <v>1306</v>
      </c>
    </row>
    <row r="335" spans="1:1">
      <c r="A335" s="412" t="s">
        <v>1307</v>
      </c>
    </row>
    <row r="337" spans="1:7">
      <c r="A337" s="412" t="s">
        <v>1308</v>
      </c>
    </row>
    <row r="338" spans="1:7">
      <c r="A338" s="412" t="s">
        <v>1303</v>
      </c>
    </row>
    <row r="339" spans="1:7">
      <c r="A339" s="412" t="s">
        <v>1304</v>
      </c>
    </row>
    <row r="340" spans="1:7">
      <c r="A340" s="412" t="s">
        <v>1305</v>
      </c>
    </row>
    <row r="341" spans="1:7">
      <c r="A341" s="412" t="s">
        <v>1306</v>
      </c>
    </row>
    <row r="342" spans="1:7">
      <c r="A342" s="412" t="s">
        <v>1307</v>
      </c>
    </row>
    <row r="344" spans="1:7">
      <c r="A344" s="412" t="s">
        <v>1318</v>
      </c>
    </row>
    <row r="345" spans="1:7">
      <c r="A345" s="412" t="s">
        <v>1319</v>
      </c>
    </row>
    <row r="346" spans="1:7">
      <c r="A346" s="412" t="s">
        <v>1320</v>
      </c>
    </row>
    <row r="347" spans="1:7">
      <c r="A347" s="412" t="s">
        <v>1305</v>
      </c>
    </row>
    <row r="348" spans="1:7">
      <c r="A348" s="412" t="s">
        <v>1306</v>
      </c>
    </row>
    <row r="349" spans="1:7">
      <c r="A349" s="412" t="s">
        <v>1307</v>
      </c>
    </row>
    <row r="350" spans="1:7">
      <c r="D350" s="413" t="s">
        <v>1117</v>
      </c>
      <c r="E350" s="413">
        <v>1</v>
      </c>
      <c r="G350" s="993">
        <f>E350*F350</f>
        <v>0</v>
      </c>
    </row>
    <row r="353" spans="1:1">
      <c r="A353" s="412" t="s">
        <v>1321</v>
      </c>
    </row>
    <row r="354" spans="1:1">
      <c r="A354" s="412" t="s">
        <v>1310</v>
      </c>
    </row>
    <row r="355" spans="1:1">
      <c r="A355" s="412" t="s">
        <v>1284</v>
      </c>
    </row>
    <row r="356" spans="1:1">
      <c r="A356" s="412" t="s">
        <v>1285</v>
      </c>
    </row>
    <row r="357" spans="1:1">
      <c r="A357" s="412" t="s">
        <v>1311</v>
      </c>
    </row>
    <row r="358" spans="1:1">
      <c r="A358" s="412" t="s">
        <v>1312</v>
      </c>
    </row>
    <row r="359" spans="1:1">
      <c r="A359" s="412" t="s">
        <v>1313</v>
      </c>
    </row>
    <row r="360" spans="1:1">
      <c r="A360" s="412" t="s">
        <v>1289</v>
      </c>
    </row>
    <row r="361" spans="1:1">
      <c r="A361" s="412" t="s">
        <v>1290</v>
      </c>
    </row>
    <row r="362" spans="1:1">
      <c r="A362" s="412" t="s">
        <v>1291</v>
      </c>
    </row>
    <row r="363" spans="1:1">
      <c r="A363" s="412" t="s">
        <v>1292</v>
      </c>
    </row>
    <row r="364" spans="1:1">
      <c r="A364" s="412" t="s">
        <v>1293</v>
      </c>
    </row>
    <row r="365" spans="1:1">
      <c r="A365" s="412" t="s">
        <v>1294</v>
      </c>
    </row>
    <row r="366" spans="1:1">
      <c r="A366" s="412" t="s">
        <v>1295</v>
      </c>
    </row>
    <row r="367" spans="1:1">
      <c r="A367" s="412" t="s">
        <v>1296</v>
      </c>
    </row>
    <row r="369" spans="1:1">
      <c r="A369" s="412" t="s">
        <v>1314</v>
      </c>
    </row>
    <row r="370" spans="1:1">
      <c r="A370" s="412" t="s">
        <v>1315</v>
      </c>
    </row>
    <row r="371" spans="1:1">
      <c r="A371" s="412" t="s">
        <v>1316</v>
      </c>
    </row>
    <row r="372" spans="1:1">
      <c r="A372" s="412" t="s">
        <v>1317</v>
      </c>
    </row>
    <row r="374" spans="1:1">
      <c r="A374" s="412" t="s">
        <v>1302</v>
      </c>
    </row>
    <row r="375" spans="1:1">
      <c r="A375" s="412" t="s">
        <v>1322</v>
      </c>
    </row>
    <row r="376" spans="1:1">
      <c r="A376" s="412" t="s">
        <v>1323</v>
      </c>
    </row>
    <row r="377" spans="1:1">
      <c r="A377" s="412" t="s">
        <v>1305</v>
      </c>
    </row>
    <row r="378" spans="1:1">
      <c r="A378" s="412" t="s">
        <v>1306</v>
      </c>
    </row>
    <row r="379" spans="1:1">
      <c r="A379" s="412" t="s">
        <v>1307</v>
      </c>
    </row>
    <row r="381" spans="1:1">
      <c r="A381" s="412" t="s">
        <v>1308</v>
      </c>
    </row>
    <row r="382" spans="1:1">
      <c r="A382" s="412" t="s">
        <v>1303</v>
      </c>
    </row>
    <row r="383" spans="1:1">
      <c r="A383" s="412" t="s">
        <v>1304</v>
      </c>
    </row>
    <row r="384" spans="1:1">
      <c r="A384" s="412" t="s">
        <v>1305</v>
      </c>
    </row>
    <row r="385" spans="1:7">
      <c r="A385" s="412" t="s">
        <v>1306</v>
      </c>
    </row>
    <row r="386" spans="1:7">
      <c r="A386" s="412" t="s">
        <v>1307</v>
      </c>
    </row>
    <row r="388" spans="1:7">
      <c r="A388" s="412" t="s">
        <v>1318</v>
      </c>
    </row>
    <row r="389" spans="1:7">
      <c r="A389" s="412" t="s">
        <v>1303</v>
      </c>
    </row>
    <row r="390" spans="1:7">
      <c r="A390" s="412" t="s">
        <v>1304</v>
      </c>
    </row>
    <row r="391" spans="1:7">
      <c r="A391" s="412" t="s">
        <v>1305</v>
      </c>
    </row>
    <row r="392" spans="1:7">
      <c r="A392" s="412" t="s">
        <v>1306</v>
      </c>
    </row>
    <row r="393" spans="1:7">
      <c r="A393" s="412" t="s">
        <v>1307</v>
      </c>
    </row>
    <row r="394" spans="1:7">
      <c r="D394" s="413" t="s">
        <v>1117</v>
      </c>
      <c r="E394" s="413">
        <v>1</v>
      </c>
      <c r="G394" s="993">
        <f>E394*F394</f>
        <v>0</v>
      </c>
    </row>
    <row r="397" spans="1:7">
      <c r="A397" s="412" t="s">
        <v>1324</v>
      </c>
    </row>
    <row r="398" spans="1:7">
      <c r="A398" s="412" t="s">
        <v>1310</v>
      </c>
    </row>
    <row r="399" spans="1:7">
      <c r="A399" s="412" t="s">
        <v>1284</v>
      </c>
    </row>
    <row r="400" spans="1:7">
      <c r="A400" s="412" t="s">
        <v>1285</v>
      </c>
    </row>
    <row r="401" spans="1:5">
      <c r="A401" s="412" t="s">
        <v>1325</v>
      </c>
    </row>
    <row r="402" spans="1:5">
      <c r="A402" s="412" t="s">
        <v>1326</v>
      </c>
    </row>
    <row r="403" spans="1:5">
      <c r="A403" s="412" t="s">
        <v>1327</v>
      </c>
    </row>
    <row r="404" spans="1:5">
      <c r="A404" s="412" t="s">
        <v>1289</v>
      </c>
    </row>
    <row r="405" spans="1:5">
      <c r="A405" s="412" t="s">
        <v>1290</v>
      </c>
      <c r="D405" s="412"/>
      <c r="E405" s="412"/>
    </row>
    <row r="406" spans="1:5">
      <c r="A406" s="412" t="s">
        <v>1291</v>
      </c>
      <c r="D406" s="412"/>
      <c r="E406" s="412"/>
    </row>
    <row r="407" spans="1:5">
      <c r="A407" s="412" t="s">
        <v>1292</v>
      </c>
      <c r="D407" s="412"/>
      <c r="E407" s="412"/>
    </row>
    <row r="408" spans="1:5">
      <c r="A408" s="412" t="s">
        <v>1293</v>
      </c>
      <c r="D408" s="412"/>
      <c r="E408" s="412"/>
    </row>
    <row r="409" spans="1:5">
      <c r="A409" s="412" t="s">
        <v>1294</v>
      </c>
      <c r="D409" s="412"/>
      <c r="E409" s="412"/>
    </row>
    <row r="410" spans="1:5">
      <c r="A410" s="412" t="s">
        <v>1295</v>
      </c>
      <c r="D410" s="412"/>
      <c r="E410" s="412"/>
    </row>
    <row r="411" spans="1:5">
      <c r="A411" s="412" t="s">
        <v>1296</v>
      </c>
      <c r="D411" s="412"/>
      <c r="E411" s="412"/>
    </row>
    <row r="412" spans="1:5">
      <c r="D412" s="412"/>
      <c r="E412" s="412"/>
    </row>
    <row r="413" spans="1:5">
      <c r="A413" s="412" t="s">
        <v>1328</v>
      </c>
      <c r="D413" s="412"/>
      <c r="E413" s="412"/>
    </row>
    <row r="414" spans="1:5">
      <c r="A414" s="412" t="s">
        <v>1329</v>
      </c>
      <c r="D414" s="412"/>
      <c r="E414" s="412"/>
    </row>
    <row r="415" spans="1:5">
      <c r="A415" s="412" t="s">
        <v>1330</v>
      </c>
      <c r="D415" s="412"/>
      <c r="E415" s="412"/>
    </row>
    <row r="416" spans="1:5">
      <c r="A416" s="412" t="s">
        <v>1331</v>
      </c>
    </row>
    <row r="418" spans="1:1">
      <c r="A418" s="412" t="s">
        <v>1302</v>
      </c>
    </row>
    <row r="419" spans="1:1">
      <c r="A419" s="412" t="s">
        <v>1322</v>
      </c>
    </row>
    <row r="420" spans="1:1">
      <c r="A420" s="412" t="s">
        <v>1323</v>
      </c>
    </row>
    <row r="421" spans="1:1">
      <c r="A421" s="412" t="s">
        <v>1305</v>
      </c>
    </row>
    <row r="422" spans="1:1">
      <c r="A422" s="412" t="s">
        <v>1306</v>
      </c>
    </row>
    <row r="423" spans="1:1">
      <c r="A423" s="412" t="s">
        <v>1307</v>
      </c>
    </row>
    <row r="425" spans="1:1">
      <c r="A425" s="412" t="s">
        <v>1308</v>
      </c>
    </row>
    <row r="426" spans="1:1">
      <c r="A426" s="412" t="s">
        <v>1303</v>
      </c>
    </row>
    <row r="427" spans="1:1">
      <c r="A427" s="412" t="s">
        <v>1304</v>
      </c>
    </row>
    <row r="428" spans="1:1">
      <c r="A428" s="412" t="s">
        <v>1305</v>
      </c>
    </row>
    <row r="429" spans="1:1">
      <c r="A429" s="412" t="s">
        <v>1306</v>
      </c>
    </row>
    <row r="430" spans="1:1">
      <c r="A430" s="412" t="s">
        <v>1307</v>
      </c>
    </row>
    <row r="431" spans="1:1">
      <c r="A431" s="412" t="s">
        <v>1318</v>
      </c>
    </row>
    <row r="432" spans="1:1">
      <c r="A432" s="412" t="s">
        <v>1303</v>
      </c>
    </row>
    <row r="433" spans="1:7">
      <c r="A433" s="412" t="s">
        <v>1304</v>
      </c>
    </row>
    <row r="434" spans="1:7">
      <c r="A434" s="412" t="s">
        <v>1305</v>
      </c>
    </row>
    <row r="435" spans="1:7">
      <c r="A435" s="412" t="s">
        <v>1306</v>
      </c>
    </row>
    <row r="436" spans="1:7">
      <c r="A436" s="412" t="s">
        <v>1307</v>
      </c>
    </row>
    <row r="437" spans="1:7">
      <c r="A437" s="412" t="s">
        <v>1332</v>
      </c>
    </row>
    <row r="438" spans="1:7">
      <c r="A438" s="412" t="s">
        <v>1303</v>
      </c>
    </row>
    <row r="439" spans="1:7">
      <c r="A439" s="412" t="s">
        <v>1304</v>
      </c>
    </row>
    <row r="440" spans="1:7">
      <c r="A440" s="412" t="s">
        <v>1305</v>
      </c>
    </row>
    <row r="441" spans="1:7">
      <c r="A441" s="412" t="s">
        <v>1306</v>
      </c>
    </row>
    <row r="442" spans="1:7">
      <c r="A442" s="412" t="s">
        <v>1307</v>
      </c>
    </row>
    <row r="443" spans="1:7">
      <c r="D443" s="413" t="s">
        <v>1117</v>
      </c>
      <c r="E443" s="413">
        <v>1</v>
      </c>
      <c r="G443" s="993">
        <f>E443*F443</f>
        <v>0</v>
      </c>
    </row>
    <row r="446" spans="1:7">
      <c r="A446" s="412" t="s">
        <v>1333</v>
      </c>
    </row>
    <row r="447" spans="1:7">
      <c r="A447" s="412" t="s">
        <v>1334</v>
      </c>
    </row>
    <row r="448" spans="1:7">
      <c r="A448" s="412" t="s">
        <v>1335</v>
      </c>
    </row>
    <row r="449" spans="1:7">
      <c r="B449" s="412" t="s">
        <v>1336</v>
      </c>
      <c r="D449" s="413" t="s">
        <v>514</v>
      </c>
      <c r="E449" s="413">
        <v>140</v>
      </c>
      <c r="G449" s="993">
        <f t="shared" ref="G449:G450" si="10">E449*F449</f>
        <v>0</v>
      </c>
    </row>
    <row r="450" spans="1:7">
      <c r="B450" s="412" t="s">
        <v>1337</v>
      </c>
      <c r="D450" s="413" t="s">
        <v>514</v>
      </c>
      <c r="E450" s="413">
        <v>140</v>
      </c>
      <c r="G450" s="993">
        <f t="shared" si="10"/>
        <v>0</v>
      </c>
    </row>
    <row r="453" spans="1:7">
      <c r="A453" s="412" t="s">
        <v>1338</v>
      </c>
    </row>
    <row r="454" spans="1:7">
      <c r="B454" s="412" t="s">
        <v>1339</v>
      </c>
      <c r="D454" s="413" t="s">
        <v>514</v>
      </c>
      <c r="E454" s="413">
        <v>30</v>
      </c>
      <c r="G454" s="993">
        <f t="shared" ref="G454:G455" si="11">E454*F454</f>
        <v>0</v>
      </c>
    </row>
    <row r="455" spans="1:7">
      <c r="B455" s="412" t="s">
        <v>1340</v>
      </c>
      <c r="D455" s="413" t="s">
        <v>514</v>
      </c>
      <c r="E455" s="413">
        <v>50</v>
      </c>
      <c r="G455" s="993">
        <f t="shared" si="11"/>
        <v>0</v>
      </c>
    </row>
    <row r="457" spans="1:7">
      <c r="A457" s="412" t="s">
        <v>1341</v>
      </c>
    </row>
    <row r="458" spans="1:7">
      <c r="A458" s="412" t="s">
        <v>1275</v>
      </c>
    </row>
    <row r="459" spans="1:7">
      <c r="D459" s="413" t="s">
        <v>1117</v>
      </c>
      <c r="E459" s="413">
        <v>1</v>
      </c>
      <c r="G459" s="993">
        <f>E459*F459</f>
        <v>0</v>
      </c>
    </row>
    <row r="461" spans="1:7">
      <c r="A461" s="412" t="s">
        <v>1342</v>
      </c>
    </row>
    <row r="462" spans="1:7">
      <c r="A462" s="412" t="s">
        <v>1343</v>
      </c>
    </row>
    <row r="463" spans="1:7">
      <c r="D463" s="413" t="s">
        <v>1117</v>
      </c>
      <c r="E463" s="413">
        <v>1</v>
      </c>
      <c r="G463" s="993">
        <f>E463*F463</f>
        <v>0</v>
      </c>
    </row>
    <row r="465" spans="1:7">
      <c r="A465" s="412" t="s">
        <v>1344</v>
      </c>
    </row>
    <row r="466" spans="1:7">
      <c r="A466" s="412" t="s">
        <v>1345</v>
      </c>
    </row>
    <row r="467" spans="1:7">
      <c r="A467" s="412" t="s">
        <v>1346</v>
      </c>
    </row>
    <row r="468" spans="1:7">
      <c r="D468" s="413" t="s">
        <v>1117</v>
      </c>
      <c r="E468" s="413">
        <v>1</v>
      </c>
      <c r="G468" s="993">
        <f>E468*F468</f>
        <v>0</v>
      </c>
    </row>
    <row r="470" spans="1:7">
      <c r="A470" s="417"/>
      <c r="B470" s="417"/>
      <c r="C470" s="1007"/>
      <c r="D470" s="418"/>
      <c r="E470" s="418"/>
      <c r="F470" s="1013"/>
      <c r="G470" s="995"/>
    </row>
    <row r="471" spans="1:7">
      <c r="B471" s="412" t="s">
        <v>1347</v>
      </c>
      <c r="G471" s="993">
        <f>SUM(G274:G468)</f>
        <v>0</v>
      </c>
    </row>
    <row r="472" spans="1:7">
      <c r="A472" s="415"/>
      <c r="B472" s="415"/>
      <c r="C472" s="1006"/>
      <c r="D472" s="416"/>
      <c r="E472" s="416"/>
      <c r="F472" s="1014"/>
      <c r="G472" s="996"/>
    </row>
    <row r="476" spans="1:7">
      <c r="A476" s="427"/>
      <c r="B476" s="428" t="s">
        <v>1348</v>
      </c>
      <c r="C476" s="1008"/>
      <c r="D476" s="429"/>
      <c r="E476" s="429"/>
      <c r="F476" s="1015"/>
      <c r="G476" s="997"/>
    </row>
    <row r="477" spans="1:7">
      <c r="A477" s="422"/>
      <c r="B477" s="423"/>
      <c r="C477" s="1009"/>
      <c r="D477" s="424"/>
      <c r="E477" s="424"/>
      <c r="F477" s="1016"/>
      <c r="G477" s="998"/>
    </row>
    <row r="478" spans="1:7">
      <c r="A478" s="427"/>
      <c r="B478" s="428" t="s">
        <v>1110</v>
      </c>
      <c r="C478" s="1008"/>
      <c r="D478" s="429"/>
      <c r="E478" s="429"/>
      <c r="F478" s="1015"/>
      <c r="G478" s="997">
        <f>G170</f>
        <v>0</v>
      </c>
    </row>
    <row r="479" spans="1:7">
      <c r="A479" s="422"/>
      <c r="B479" s="423"/>
      <c r="C479" s="1009"/>
      <c r="D479" s="424"/>
      <c r="E479" s="424"/>
      <c r="F479" s="1016"/>
      <c r="G479" s="998"/>
    </row>
    <row r="480" spans="1:7">
      <c r="A480" s="427"/>
      <c r="B480" s="428" t="s">
        <v>1222</v>
      </c>
      <c r="C480" s="1008"/>
      <c r="D480" s="429"/>
      <c r="E480" s="429"/>
      <c r="F480" s="1015"/>
      <c r="G480" s="997">
        <f>G267</f>
        <v>0</v>
      </c>
    </row>
    <row r="481" spans="1:7">
      <c r="A481" s="422"/>
      <c r="B481" s="423"/>
      <c r="C481" s="1009"/>
      <c r="D481" s="424"/>
      <c r="E481" s="424"/>
      <c r="F481" s="1016"/>
      <c r="G481" s="998"/>
    </row>
    <row r="482" spans="1:7">
      <c r="A482" s="427"/>
      <c r="B482" s="428" t="s">
        <v>1282</v>
      </c>
      <c r="C482" s="1008"/>
      <c r="D482" s="429"/>
      <c r="E482" s="429"/>
      <c r="F482" s="1015"/>
      <c r="G482" s="997">
        <f>G471</f>
        <v>0</v>
      </c>
    </row>
    <row r="483" spans="1:7">
      <c r="A483" s="422"/>
      <c r="B483" s="423"/>
      <c r="C483" s="1009"/>
      <c r="D483" s="424"/>
      <c r="E483" s="424"/>
      <c r="F483" s="1016"/>
      <c r="G483" s="998"/>
    </row>
    <row r="484" spans="1:7">
      <c r="A484" s="425"/>
      <c r="B484" s="430" t="s">
        <v>1349</v>
      </c>
      <c r="C484" s="1010"/>
      <c r="D484" s="426"/>
      <c r="E484" s="426"/>
      <c r="F484" s="1017"/>
      <c r="G484" s="999">
        <f>SUM(G478:G482)</f>
        <v>0</v>
      </c>
    </row>
    <row r="485" spans="1:7">
      <c r="A485" s="420"/>
      <c r="G485" s="1000"/>
    </row>
    <row r="486" spans="1:7">
      <c r="A486" s="419"/>
      <c r="B486" s="415"/>
      <c r="C486" s="1006"/>
      <c r="D486" s="416"/>
      <c r="E486" s="416"/>
      <c r="F486" s="1014"/>
      <c r="G486" s="1001"/>
    </row>
  </sheetData>
  <sheetProtection password="CB29" sheet="1" formatCells="0" formatColumns="0" formatRows="0" insertColumns="0" insertRows="0" insertHyperlinks="0" deleteColumns="0" deleteRows="0" sort="0" autoFilter="0" pivotTables="0"/>
  <conditionalFormatting sqref="G1:G1048576">
    <cfRule type="cellIs" dxfId="9" priority="1" operator="equal">
      <formula>0</formula>
    </cfRule>
  </conditionalFormatting>
  <pageMargins left="0.7" right="0.7" top="0.75" bottom="0.75" header="0.3" footer="0.3"/>
  <pageSetup paperSize="9" scale="82" orientation="portrait" r:id="rId1"/>
  <rowBreaks count="1" manualBreakCount="1">
    <brk id="70" max="6"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65" zoomScale="130" zoomScaleNormal="100" zoomScaleSheetLayoutView="130" workbookViewId="0">
      <selection activeCell="G75" sqref="G75"/>
    </sheetView>
  </sheetViews>
  <sheetFormatPr defaultRowHeight="12.75"/>
  <cols>
    <col min="1" max="1" width="4.7109375" style="431" customWidth="1"/>
    <col min="2" max="2" width="41.42578125" style="445" customWidth="1"/>
    <col min="3" max="3" width="13.7109375" style="445" customWidth="1"/>
    <col min="4" max="4" width="6.42578125" style="446" customWidth="1"/>
    <col min="5" max="5" width="7.140625" style="1030" customWidth="1"/>
    <col min="6" max="6" width="7.28515625" style="1018" customWidth="1"/>
    <col min="7" max="7" width="10.85546875" style="1018" customWidth="1"/>
    <col min="8" max="257" width="9.140625" style="435"/>
    <col min="258" max="258" width="4.7109375" style="435" customWidth="1"/>
    <col min="259" max="259" width="41.42578125" style="435" customWidth="1"/>
    <col min="260" max="260" width="6.5703125" style="435" customWidth="1"/>
    <col min="261" max="262" width="9.140625" style="435"/>
    <col min="263" max="263" width="11.5703125" style="435" customWidth="1"/>
    <col min="264" max="513" width="9.140625" style="435"/>
    <col min="514" max="514" width="4.7109375" style="435" customWidth="1"/>
    <col min="515" max="515" width="41.42578125" style="435" customWidth="1"/>
    <col min="516" max="516" width="6.5703125" style="435" customWidth="1"/>
    <col min="517" max="518" width="9.140625" style="435"/>
    <col min="519" max="519" width="11.5703125" style="435" customWidth="1"/>
    <col min="520" max="769" width="9.140625" style="435"/>
    <col min="770" max="770" width="4.7109375" style="435" customWidth="1"/>
    <col min="771" max="771" width="41.42578125" style="435" customWidth="1"/>
    <col min="772" max="772" width="6.5703125" style="435" customWidth="1"/>
    <col min="773" max="774" width="9.140625" style="435"/>
    <col min="775" max="775" width="11.5703125" style="435" customWidth="1"/>
    <col min="776" max="1025" width="9.140625" style="435"/>
    <col min="1026" max="1026" width="4.7109375" style="435" customWidth="1"/>
    <col min="1027" max="1027" width="41.42578125" style="435" customWidth="1"/>
    <col min="1028" max="1028" width="6.5703125" style="435" customWidth="1"/>
    <col min="1029" max="1030" width="9.140625" style="435"/>
    <col min="1031" max="1031" width="11.5703125" style="435" customWidth="1"/>
    <col min="1032" max="1281" width="9.140625" style="435"/>
    <col min="1282" max="1282" width="4.7109375" style="435" customWidth="1"/>
    <col min="1283" max="1283" width="41.42578125" style="435" customWidth="1"/>
    <col min="1284" max="1284" width="6.5703125" style="435" customWidth="1"/>
    <col min="1285" max="1286" width="9.140625" style="435"/>
    <col min="1287" max="1287" width="11.5703125" style="435" customWidth="1"/>
    <col min="1288" max="1537" width="9.140625" style="435"/>
    <col min="1538" max="1538" width="4.7109375" style="435" customWidth="1"/>
    <col min="1539" max="1539" width="41.42578125" style="435" customWidth="1"/>
    <col min="1540" max="1540" width="6.5703125" style="435" customWidth="1"/>
    <col min="1541" max="1542" width="9.140625" style="435"/>
    <col min="1543" max="1543" width="11.5703125" style="435" customWidth="1"/>
    <col min="1544" max="1793" width="9.140625" style="435"/>
    <col min="1794" max="1794" width="4.7109375" style="435" customWidth="1"/>
    <col min="1795" max="1795" width="41.42578125" style="435" customWidth="1"/>
    <col min="1796" max="1796" width="6.5703125" style="435" customWidth="1"/>
    <col min="1797" max="1798" width="9.140625" style="435"/>
    <col min="1799" max="1799" width="11.5703125" style="435" customWidth="1"/>
    <col min="1800" max="2049" width="9.140625" style="435"/>
    <col min="2050" max="2050" width="4.7109375" style="435" customWidth="1"/>
    <col min="2051" max="2051" width="41.42578125" style="435" customWidth="1"/>
    <col min="2052" max="2052" width="6.5703125" style="435" customWidth="1"/>
    <col min="2053" max="2054" width="9.140625" style="435"/>
    <col min="2055" max="2055" width="11.5703125" style="435" customWidth="1"/>
    <col min="2056" max="2305" width="9.140625" style="435"/>
    <col min="2306" max="2306" width="4.7109375" style="435" customWidth="1"/>
    <col min="2307" max="2307" width="41.42578125" style="435" customWidth="1"/>
    <col min="2308" max="2308" width="6.5703125" style="435" customWidth="1"/>
    <col min="2309" max="2310" width="9.140625" style="435"/>
    <col min="2311" max="2311" width="11.5703125" style="435" customWidth="1"/>
    <col min="2312" max="2561" width="9.140625" style="435"/>
    <col min="2562" max="2562" width="4.7109375" style="435" customWidth="1"/>
    <col min="2563" max="2563" width="41.42578125" style="435" customWidth="1"/>
    <col min="2564" max="2564" width="6.5703125" style="435" customWidth="1"/>
    <col min="2565" max="2566" width="9.140625" style="435"/>
    <col min="2567" max="2567" width="11.5703125" style="435" customWidth="1"/>
    <col min="2568" max="2817" width="9.140625" style="435"/>
    <col min="2818" max="2818" width="4.7109375" style="435" customWidth="1"/>
    <col min="2819" max="2819" width="41.42578125" style="435" customWidth="1"/>
    <col min="2820" max="2820" width="6.5703125" style="435" customWidth="1"/>
    <col min="2821" max="2822" width="9.140625" style="435"/>
    <col min="2823" max="2823" width="11.5703125" style="435" customWidth="1"/>
    <col min="2824" max="3073" width="9.140625" style="435"/>
    <col min="3074" max="3074" width="4.7109375" style="435" customWidth="1"/>
    <col min="3075" max="3075" width="41.42578125" style="435" customWidth="1"/>
    <col min="3076" max="3076" width="6.5703125" style="435" customWidth="1"/>
    <col min="3077" max="3078" width="9.140625" style="435"/>
    <col min="3079" max="3079" width="11.5703125" style="435" customWidth="1"/>
    <col min="3080" max="3329" width="9.140625" style="435"/>
    <col min="3330" max="3330" width="4.7109375" style="435" customWidth="1"/>
    <col min="3331" max="3331" width="41.42578125" style="435" customWidth="1"/>
    <col min="3332" max="3332" width="6.5703125" style="435" customWidth="1"/>
    <col min="3333" max="3334" width="9.140625" style="435"/>
    <col min="3335" max="3335" width="11.5703125" style="435" customWidth="1"/>
    <col min="3336" max="3585" width="9.140625" style="435"/>
    <col min="3586" max="3586" width="4.7109375" style="435" customWidth="1"/>
    <col min="3587" max="3587" width="41.42578125" style="435" customWidth="1"/>
    <col min="3588" max="3588" width="6.5703125" style="435" customWidth="1"/>
    <col min="3589" max="3590" width="9.140625" style="435"/>
    <col min="3591" max="3591" width="11.5703125" style="435" customWidth="1"/>
    <col min="3592" max="3841" width="9.140625" style="435"/>
    <col min="3842" max="3842" width="4.7109375" style="435" customWidth="1"/>
    <col min="3843" max="3843" width="41.42578125" style="435" customWidth="1"/>
    <col min="3844" max="3844" width="6.5703125" style="435" customWidth="1"/>
    <col min="3845" max="3846" width="9.140625" style="435"/>
    <col min="3847" max="3847" width="11.5703125" style="435" customWidth="1"/>
    <col min="3848" max="4097" width="9.140625" style="435"/>
    <col min="4098" max="4098" width="4.7109375" style="435" customWidth="1"/>
    <col min="4099" max="4099" width="41.42578125" style="435" customWidth="1"/>
    <col min="4100" max="4100" width="6.5703125" style="435" customWidth="1"/>
    <col min="4101" max="4102" width="9.140625" style="435"/>
    <col min="4103" max="4103" width="11.5703125" style="435" customWidth="1"/>
    <col min="4104" max="4353" width="9.140625" style="435"/>
    <col min="4354" max="4354" width="4.7109375" style="435" customWidth="1"/>
    <col min="4355" max="4355" width="41.42578125" style="435" customWidth="1"/>
    <col min="4356" max="4356" width="6.5703125" style="435" customWidth="1"/>
    <col min="4357" max="4358" width="9.140625" style="435"/>
    <col min="4359" max="4359" width="11.5703125" style="435" customWidth="1"/>
    <col min="4360" max="4609" width="9.140625" style="435"/>
    <col min="4610" max="4610" width="4.7109375" style="435" customWidth="1"/>
    <col min="4611" max="4611" width="41.42578125" style="435" customWidth="1"/>
    <col min="4612" max="4612" width="6.5703125" style="435" customWidth="1"/>
    <col min="4613" max="4614" width="9.140625" style="435"/>
    <col min="4615" max="4615" width="11.5703125" style="435" customWidth="1"/>
    <col min="4616" max="4865" width="9.140625" style="435"/>
    <col min="4866" max="4866" width="4.7109375" style="435" customWidth="1"/>
    <col min="4867" max="4867" width="41.42578125" style="435" customWidth="1"/>
    <col min="4868" max="4868" width="6.5703125" style="435" customWidth="1"/>
    <col min="4869" max="4870" width="9.140625" style="435"/>
    <col min="4871" max="4871" width="11.5703125" style="435" customWidth="1"/>
    <col min="4872" max="5121" width="9.140625" style="435"/>
    <col min="5122" max="5122" width="4.7109375" style="435" customWidth="1"/>
    <col min="5123" max="5123" width="41.42578125" style="435" customWidth="1"/>
    <col min="5124" max="5124" width="6.5703125" style="435" customWidth="1"/>
    <col min="5125" max="5126" width="9.140625" style="435"/>
    <col min="5127" max="5127" width="11.5703125" style="435" customWidth="1"/>
    <col min="5128" max="5377" width="9.140625" style="435"/>
    <col min="5378" max="5378" width="4.7109375" style="435" customWidth="1"/>
    <col min="5379" max="5379" width="41.42578125" style="435" customWidth="1"/>
    <col min="5380" max="5380" width="6.5703125" style="435" customWidth="1"/>
    <col min="5381" max="5382" width="9.140625" style="435"/>
    <col min="5383" max="5383" width="11.5703125" style="435" customWidth="1"/>
    <col min="5384" max="5633" width="9.140625" style="435"/>
    <col min="5634" max="5634" width="4.7109375" style="435" customWidth="1"/>
    <col min="5635" max="5635" width="41.42578125" style="435" customWidth="1"/>
    <col min="5636" max="5636" width="6.5703125" style="435" customWidth="1"/>
    <col min="5637" max="5638" width="9.140625" style="435"/>
    <col min="5639" max="5639" width="11.5703125" style="435" customWidth="1"/>
    <col min="5640" max="5889" width="9.140625" style="435"/>
    <col min="5890" max="5890" width="4.7109375" style="435" customWidth="1"/>
    <col min="5891" max="5891" width="41.42578125" style="435" customWidth="1"/>
    <col min="5892" max="5892" width="6.5703125" style="435" customWidth="1"/>
    <col min="5893" max="5894" width="9.140625" style="435"/>
    <col min="5895" max="5895" width="11.5703125" style="435" customWidth="1"/>
    <col min="5896" max="6145" width="9.140625" style="435"/>
    <col min="6146" max="6146" width="4.7109375" style="435" customWidth="1"/>
    <col min="6147" max="6147" width="41.42578125" style="435" customWidth="1"/>
    <col min="6148" max="6148" width="6.5703125" style="435" customWidth="1"/>
    <col min="6149" max="6150" width="9.140625" style="435"/>
    <col min="6151" max="6151" width="11.5703125" style="435" customWidth="1"/>
    <col min="6152" max="6401" width="9.140625" style="435"/>
    <col min="6402" max="6402" width="4.7109375" style="435" customWidth="1"/>
    <col min="6403" max="6403" width="41.42578125" style="435" customWidth="1"/>
    <col min="6404" max="6404" width="6.5703125" style="435" customWidth="1"/>
    <col min="6405" max="6406" width="9.140625" style="435"/>
    <col min="6407" max="6407" width="11.5703125" style="435" customWidth="1"/>
    <col min="6408" max="6657" width="9.140625" style="435"/>
    <col min="6658" max="6658" width="4.7109375" style="435" customWidth="1"/>
    <col min="6659" max="6659" width="41.42578125" style="435" customWidth="1"/>
    <col min="6660" max="6660" width="6.5703125" style="435" customWidth="1"/>
    <col min="6661" max="6662" width="9.140625" style="435"/>
    <col min="6663" max="6663" width="11.5703125" style="435" customWidth="1"/>
    <col min="6664" max="6913" width="9.140625" style="435"/>
    <col min="6914" max="6914" width="4.7109375" style="435" customWidth="1"/>
    <col min="6915" max="6915" width="41.42578125" style="435" customWidth="1"/>
    <col min="6916" max="6916" width="6.5703125" style="435" customWidth="1"/>
    <col min="6917" max="6918" width="9.140625" style="435"/>
    <col min="6919" max="6919" width="11.5703125" style="435" customWidth="1"/>
    <col min="6920" max="7169" width="9.140625" style="435"/>
    <col min="7170" max="7170" width="4.7109375" style="435" customWidth="1"/>
    <col min="7171" max="7171" width="41.42578125" style="435" customWidth="1"/>
    <col min="7172" max="7172" width="6.5703125" style="435" customWidth="1"/>
    <col min="7173" max="7174" width="9.140625" style="435"/>
    <col min="7175" max="7175" width="11.5703125" style="435" customWidth="1"/>
    <col min="7176" max="7425" width="9.140625" style="435"/>
    <col min="7426" max="7426" width="4.7109375" style="435" customWidth="1"/>
    <col min="7427" max="7427" width="41.42578125" style="435" customWidth="1"/>
    <col min="7428" max="7428" width="6.5703125" style="435" customWidth="1"/>
    <col min="7429" max="7430" width="9.140625" style="435"/>
    <col min="7431" max="7431" width="11.5703125" style="435" customWidth="1"/>
    <col min="7432" max="7681" width="9.140625" style="435"/>
    <col min="7682" max="7682" width="4.7109375" style="435" customWidth="1"/>
    <col min="7683" max="7683" width="41.42578125" style="435" customWidth="1"/>
    <col min="7684" max="7684" width="6.5703125" style="435" customWidth="1"/>
    <col min="7685" max="7686" width="9.140625" style="435"/>
    <col min="7687" max="7687" width="11.5703125" style="435" customWidth="1"/>
    <col min="7688" max="7937" width="9.140625" style="435"/>
    <col min="7938" max="7938" width="4.7109375" style="435" customWidth="1"/>
    <col min="7939" max="7939" width="41.42578125" style="435" customWidth="1"/>
    <col min="7940" max="7940" width="6.5703125" style="435" customWidth="1"/>
    <col min="7941" max="7942" width="9.140625" style="435"/>
    <col min="7943" max="7943" width="11.5703125" style="435" customWidth="1"/>
    <col min="7944" max="8193" width="9.140625" style="435"/>
    <col min="8194" max="8194" width="4.7109375" style="435" customWidth="1"/>
    <col min="8195" max="8195" width="41.42578125" style="435" customWidth="1"/>
    <col min="8196" max="8196" width="6.5703125" style="435" customWidth="1"/>
    <col min="8197" max="8198" width="9.140625" style="435"/>
    <col min="8199" max="8199" width="11.5703125" style="435" customWidth="1"/>
    <col min="8200" max="8449" width="9.140625" style="435"/>
    <col min="8450" max="8450" width="4.7109375" style="435" customWidth="1"/>
    <col min="8451" max="8451" width="41.42578125" style="435" customWidth="1"/>
    <col min="8452" max="8452" width="6.5703125" style="435" customWidth="1"/>
    <col min="8453" max="8454" width="9.140625" style="435"/>
    <col min="8455" max="8455" width="11.5703125" style="435" customWidth="1"/>
    <col min="8456" max="8705" width="9.140625" style="435"/>
    <col min="8706" max="8706" width="4.7109375" style="435" customWidth="1"/>
    <col min="8707" max="8707" width="41.42578125" style="435" customWidth="1"/>
    <col min="8708" max="8708" width="6.5703125" style="435" customWidth="1"/>
    <col min="8709" max="8710" width="9.140625" style="435"/>
    <col min="8711" max="8711" width="11.5703125" style="435" customWidth="1"/>
    <col min="8712" max="8961" width="9.140625" style="435"/>
    <col min="8962" max="8962" width="4.7109375" style="435" customWidth="1"/>
    <col min="8963" max="8963" width="41.42578125" style="435" customWidth="1"/>
    <col min="8964" max="8964" width="6.5703125" style="435" customWidth="1"/>
    <col min="8965" max="8966" width="9.140625" style="435"/>
    <col min="8967" max="8967" width="11.5703125" style="435" customWidth="1"/>
    <col min="8968" max="9217" width="9.140625" style="435"/>
    <col min="9218" max="9218" width="4.7109375" style="435" customWidth="1"/>
    <col min="9219" max="9219" width="41.42578125" style="435" customWidth="1"/>
    <col min="9220" max="9220" width="6.5703125" style="435" customWidth="1"/>
    <col min="9221" max="9222" width="9.140625" style="435"/>
    <col min="9223" max="9223" width="11.5703125" style="435" customWidth="1"/>
    <col min="9224" max="9473" width="9.140625" style="435"/>
    <col min="9474" max="9474" width="4.7109375" style="435" customWidth="1"/>
    <col min="9475" max="9475" width="41.42578125" style="435" customWidth="1"/>
    <col min="9476" max="9476" width="6.5703125" style="435" customWidth="1"/>
    <col min="9477" max="9478" width="9.140625" style="435"/>
    <col min="9479" max="9479" width="11.5703125" style="435" customWidth="1"/>
    <col min="9480" max="9729" width="9.140625" style="435"/>
    <col min="9730" max="9730" width="4.7109375" style="435" customWidth="1"/>
    <col min="9731" max="9731" width="41.42578125" style="435" customWidth="1"/>
    <col min="9732" max="9732" width="6.5703125" style="435" customWidth="1"/>
    <col min="9733" max="9734" width="9.140625" style="435"/>
    <col min="9735" max="9735" width="11.5703125" style="435" customWidth="1"/>
    <col min="9736" max="9985" width="9.140625" style="435"/>
    <col min="9986" max="9986" width="4.7109375" style="435" customWidth="1"/>
    <col min="9987" max="9987" width="41.42578125" style="435" customWidth="1"/>
    <col min="9988" max="9988" width="6.5703125" style="435" customWidth="1"/>
    <col min="9989" max="9990" width="9.140625" style="435"/>
    <col min="9991" max="9991" width="11.5703125" style="435" customWidth="1"/>
    <col min="9992" max="10241" width="9.140625" style="435"/>
    <col min="10242" max="10242" width="4.7109375" style="435" customWidth="1"/>
    <col min="10243" max="10243" width="41.42578125" style="435" customWidth="1"/>
    <col min="10244" max="10244" width="6.5703125" style="435" customWidth="1"/>
    <col min="10245" max="10246" width="9.140625" style="435"/>
    <col min="10247" max="10247" width="11.5703125" style="435" customWidth="1"/>
    <col min="10248" max="10497" width="9.140625" style="435"/>
    <col min="10498" max="10498" width="4.7109375" style="435" customWidth="1"/>
    <col min="10499" max="10499" width="41.42578125" style="435" customWidth="1"/>
    <col min="10500" max="10500" width="6.5703125" style="435" customWidth="1"/>
    <col min="10501" max="10502" width="9.140625" style="435"/>
    <col min="10503" max="10503" width="11.5703125" style="435" customWidth="1"/>
    <col min="10504" max="10753" width="9.140625" style="435"/>
    <col min="10754" max="10754" width="4.7109375" style="435" customWidth="1"/>
    <col min="10755" max="10755" width="41.42578125" style="435" customWidth="1"/>
    <col min="10756" max="10756" width="6.5703125" style="435" customWidth="1"/>
    <col min="10757" max="10758" width="9.140625" style="435"/>
    <col min="10759" max="10759" width="11.5703125" style="435" customWidth="1"/>
    <col min="10760" max="11009" width="9.140625" style="435"/>
    <col min="11010" max="11010" width="4.7109375" style="435" customWidth="1"/>
    <col min="11011" max="11011" width="41.42578125" style="435" customWidth="1"/>
    <col min="11012" max="11012" width="6.5703125" style="435" customWidth="1"/>
    <col min="11013" max="11014" width="9.140625" style="435"/>
    <col min="11015" max="11015" width="11.5703125" style="435" customWidth="1"/>
    <col min="11016" max="11265" width="9.140625" style="435"/>
    <col min="11266" max="11266" width="4.7109375" style="435" customWidth="1"/>
    <col min="11267" max="11267" width="41.42578125" style="435" customWidth="1"/>
    <col min="11268" max="11268" width="6.5703125" style="435" customWidth="1"/>
    <col min="11269" max="11270" width="9.140625" style="435"/>
    <col min="11271" max="11271" width="11.5703125" style="435" customWidth="1"/>
    <col min="11272" max="11521" width="9.140625" style="435"/>
    <col min="11522" max="11522" width="4.7109375" style="435" customWidth="1"/>
    <col min="11523" max="11523" width="41.42578125" style="435" customWidth="1"/>
    <col min="11524" max="11524" width="6.5703125" style="435" customWidth="1"/>
    <col min="11525" max="11526" width="9.140625" style="435"/>
    <col min="11527" max="11527" width="11.5703125" style="435" customWidth="1"/>
    <col min="11528" max="11777" width="9.140625" style="435"/>
    <col min="11778" max="11778" width="4.7109375" style="435" customWidth="1"/>
    <col min="11779" max="11779" width="41.42578125" style="435" customWidth="1"/>
    <col min="11780" max="11780" width="6.5703125" style="435" customWidth="1"/>
    <col min="11781" max="11782" width="9.140625" style="435"/>
    <col min="11783" max="11783" width="11.5703125" style="435" customWidth="1"/>
    <col min="11784" max="12033" width="9.140625" style="435"/>
    <col min="12034" max="12034" width="4.7109375" style="435" customWidth="1"/>
    <col min="12035" max="12035" width="41.42578125" style="435" customWidth="1"/>
    <col min="12036" max="12036" width="6.5703125" style="435" customWidth="1"/>
    <col min="12037" max="12038" width="9.140625" style="435"/>
    <col min="12039" max="12039" width="11.5703125" style="435" customWidth="1"/>
    <col min="12040" max="12289" width="9.140625" style="435"/>
    <col min="12290" max="12290" width="4.7109375" style="435" customWidth="1"/>
    <col min="12291" max="12291" width="41.42578125" style="435" customWidth="1"/>
    <col min="12292" max="12292" width="6.5703125" style="435" customWidth="1"/>
    <col min="12293" max="12294" width="9.140625" style="435"/>
    <col min="12295" max="12295" width="11.5703125" style="435" customWidth="1"/>
    <col min="12296" max="12545" width="9.140625" style="435"/>
    <col min="12546" max="12546" width="4.7109375" style="435" customWidth="1"/>
    <col min="12547" max="12547" width="41.42578125" style="435" customWidth="1"/>
    <col min="12548" max="12548" width="6.5703125" style="435" customWidth="1"/>
    <col min="12549" max="12550" width="9.140625" style="435"/>
    <col min="12551" max="12551" width="11.5703125" style="435" customWidth="1"/>
    <col min="12552" max="12801" width="9.140625" style="435"/>
    <col min="12802" max="12802" width="4.7109375" style="435" customWidth="1"/>
    <col min="12803" max="12803" width="41.42578125" style="435" customWidth="1"/>
    <col min="12804" max="12804" width="6.5703125" style="435" customWidth="1"/>
    <col min="12805" max="12806" width="9.140625" style="435"/>
    <col min="12807" max="12807" width="11.5703125" style="435" customWidth="1"/>
    <col min="12808" max="13057" width="9.140625" style="435"/>
    <col min="13058" max="13058" width="4.7109375" style="435" customWidth="1"/>
    <col min="13059" max="13059" width="41.42578125" style="435" customWidth="1"/>
    <col min="13060" max="13060" width="6.5703125" style="435" customWidth="1"/>
    <col min="13061" max="13062" width="9.140625" style="435"/>
    <col min="13063" max="13063" width="11.5703125" style="435" customWidth="1"/>
    <col min="13064" max="13313" width="9.140625" style="435"/>
    <col min="13314" max="13314" width="4.7109375" style="435" customWidth="1"/>
    <col min="13315" max="13315" width="41.42578125" style="435" customWidth="1"/>
    <col min="13316" max="13316" width="6.5703125" style="435" customWidth="1"/>
    <col min="13317" max="13318" width="9.140625" style="435"/>
    <col min="13319" max="13319" width="11.5703125" style="435" customWidth="1"/>
    <col min="13320" max="13569" width="9.140625" style="435"/>
    <col min="13570" max="13570" width="4.7109375" style="435" customWidth="1"/>
    <col min="13571" max="13571" width="41.42578125" style="435" customWidth="1"/>
    <col min="13572" max="13572" width="6.5703125" style="435" customWidth="1"/>
    <col min="13573" max="13574" width="9.140625" style="435"/>
    <col min="13575" max="13575" width="11.5703125" style="435" customWidth="1"/>
    <col min="13576" max="13825" width="9.140625" style="435"/>
    <col min="13826" max="13826" width="4.7109375" style="435" customWidth="1"/>
    <col min="13827" max="13827" width="41.42578125" style="435" customWidth="1"/>
    <col min="13828" max="13828" width="6.5703125" style="435" customWidth="1"/>
    <col min="13829" max="13830" width="9.140625" style="435"/>
    <col min="13831" max="13831" width="11.5703125" style="435" customWidth="1"/>
    <col min="13832" max="14081" width="9.140625" style="435"/>
    <col min="14082" max="14082" width="4.7109375" style="435" customWidth="1"/>
    <col min="14083" max="14083" width="41.42578125" style="435" customWidth="1"/>
    <col min="14084" max="14084" width="6.5703125" style="435" customWidth="1"/>
    <col min="14085" max="14086" width="9.140625" style="435"/>
    <col min="14087" max="14087" width="11.5703125" style="435" customWidth="1"/>
    <col min="14088" max="14337" width="9.140625" style="435"/>
    <col min="14338" max="14338" width="4.7109375" style="435" customWidth="1"/>
    <col min="14339" max="14339" width="41.42578125" style="435" customWidth="1"/>
    <col min="14340" max="14340" width="6.5703125" style="435" customWidth="1"/>
    <col min="14341" max="14342" width="9.140625" style="435"/>
    <col min="14343" max="14343" width="11.5703125" style="435" customWidth="1"/>
    <col min="14344" max="14593" width="9.140625" style="435"/>
    <col min="14594" max="14594" width="4.7109375" style="435" customWidth="1"/>
    <col min="14595" max="14595" width="41.42578125" style="435" customWidth="1"/>
    <col min="14596" max="14596" width="6.5703125" style="435" customWidth="1"/>
    <col min="14597" max="14598" width="9.140625" style="435"/>
    <col min="14599" max="14599" width="11.5703125" style="435" customWidth="1"/>
    <col min="14600" max="14849" width="9.140625" style="435"/>
    <col min="14850" max="14850" width="4.7109375" style="435" customWidth="1"/>
    <col min="14851" max="14851" width="41.42578125" style="435" customWidth="1"/>
    <col min="14852" max="14852" width="6.5703125" style="435" customWidth="1"/>
    <col min="14853" max="14854" width="9.140625" style="435"/>
    <col min="14855" max="14855" width="11.5703125" style="435" customWidth="1"/>
    <col min="14856" max="15105" width="9.140625" style="435"/>
    <col min="15106" max="15106" width="4.7109375" style="435" customWidth="1"/>
    <col min="15107" max="15107" width="41.42578125" style="435" customWidth="1"/>
    <col min="15108" max="15108" width="6.5703125" style="435" customWidth="1"/>
    <col min="15109" max="15110" width="9.140625" style="435"/>
    <col min="15111" max="15111" width="11.5703125" style="435" customWidth="1"/>
    <col min="15112" max="15361" width="9.140625" style="435"/>
    <col min="15362" max="15362" width="4.7109375" style="435" customWidth="1"/>
    <col min="15363" max="15363" width="41.42578125" style="435" customWidth="1"/>
    <col min="15364" max="15364" width="6.5703125" style="435" customWidth="1"/>
    <col min="15365" max="15366" width="9.140625" style="435"/>
    <col min="15367" max="15367" width="11.5703125" style="435" customWidth="1"/>
    <col min="15368" max="15617" width="9.140625" style="435"/>
    <col min="15618" max="15618" width="4.7109375" style="435" customWidth="1"/>
    <col min="15619" max="15619" width="41.42578125" style="435" customWidth="1"/>
    <col min="15620" max="15620" width="6.5703125" style="435" customWidth="1"/>
    <col min="15621" max="15622" width="9.140625" style="435"/>
    <col min="15623" max="15623" width="11.5703125" style="435" customWidth="1"/>
    <col min="15624" max="15873" width="9.140625" style="435"/>
    <col min="15874" max="15874" width="4.7109375" style="435" customWidth="1"/>
    <col min="15875" max="15875" width="41.42578125" style="435" customWidth="1"/>
    <col min="15876" max="15876" width="6.5703125" style="435" customWidth="1"/>
    <col min="15877" max="15878" width="9.140625" style="435"/>
    <col min="15879" max="15879" width="11.5703125" style="435" customWidth="1"/>
    <col min="15880" max="16129" width="9.140625" style="435"/>
    <col min="16130" max="16130" width="4.7109375" style="435" customWidth="1"/>
    <col min="16131" max="16131" width="41.42578125" style="435" customWidth="1"/>
    <col min="16132" max="16132" width="6.5703125" style="435" customWidth="1"/>
    <col min="16133" max="16134" width="9.140625" style="435"/>
    <col min="16135" max="16135" width="11.5703125" style="435" customWidth="1"/>
    <col min="16136" max="16384" width="9.140625" style="435"/>
  </cols>
  <sheetData>
    <row r="1" spans="1:9">
      <c r="B1" s="432"/>
      <c r="C1" s="432"/>
      <c r="D1" s="433"/>
      <c r="E1" s="1029"/>
      <c r="H1" s="434"/>
    </row>
    <row r="2" spans="1:9" s="434" customFormat="1" ht="15" customHeight="1">
      <c r="A2" s="436"/>
      <c r="B2" s="1281" t="s">
        <v>1351</v>
      </c>
      <c r="C2" s="1281"/>
      <c r="D2" s="1281"/>
      <c r="E2" s="1029"/>
      <c r="F2" s="1018"/>
      <c r="G2" s="1018"/>
    </row>
    <row r="3" spans="1:9" s="434" customFormat="1" ht="15" customHeight="1">
      <c r="A3" s="436"/>
      <c r="B3" s="1281" t="s">
        <v>1352</v>
      </c>
      <c r="C3" s="1281"/>
      <c r="D3" s="1281"/>
      <c r="E3" s="1029"/>
      <c r="F3" s="1018"/>
      <c r="G3" s="1018"/>
    </row>
    <row r="4" spans="1:9" s="434" customFormat="1">
      <c r="A4" s="436" t="s">
        <v>1353</v>
      </c>
      <c r="B4" s="437" t="s">
        <v>1354</v>
      </c>
      <c r="C4" s="437"/>
      <c r="D4" s="1034"/>
      <c r="E4" s="1029"/>
      <c r="F4" s="1018"/>
      <c r="G4" s="1018"/>
    </row>
    <row r="5" spans="1:9" s="434" customFormat="1">
      <c r="A5" s="438" t="s">
        <v>1355</v>
      </c>
      <c r="B5" s="439" t="s">
        <v>1356</v>
      </c>
      <c r="C5" s="439"/>
      <c r="D5" s="1035"/>
      <c r="E5" s="1032"/>
      <c r="F5" s="1018"/>
      <c r="G5" s="1018"/>
    </row>
    <row r="6" spans="1:9" s="434" customFormat="1" ht="13.5" thickBot="1">
      <c r="A6" s="438"/>
      <c r="B6" s="439"/>
      <c r="C6" s="439"/>
      <c r="D6" s="1035"/>
      <c r="E6" s="1032"/>
      <c r="F6" s="1018"/>
      <c r="G6" s="1018"/>
    </row>
    <row r="7" spans="1:9" ht="26.25" thickBot="1">
      <c r="A7" s="717" t="s">
        <v>13</v>
      </c>
      <c r="B7" s="718" t="s">
        <v>9</v>
      </c>
      <c r="C7" s="719" t="s">
        <v>1841</v>
      </c>
      <c r="D7" s="719" t="s">
        <v>15</v>
      </c>
      <c r="E7" s="719" t="s">
        <v>10</v>
      </c>
      <c r="F7" s="994" t="s">
        <v>16</v>
      </c>
      <c r="G7" s="994" t="s">
        <v>17</v>
      </c>
      <c r="H7" s="719"/>
    </row>
    <row r="8" spans="1:9" ht="51">
      <c r="A8" s="433" t="s">
        <v>1357</v>
      </c>
      <c r="B8" s="440" t="s">
        <v>1358</v>
      </c>
      <c r="C8" s="1019"/>
      <c r="D8" s="441"/>
      <c r="E8" s="1029"/>
      <c r="F8" s="1039"/>
      <c r="H8" s="442"/>
      <c r="I8" s="442"/>
    </row>
    <row r="9" spans="1:9">
      <c r="A9" s="433"/>
      <c r="B9" s="440"/>
      <c r="C9" s="1019" t="s">
        <v>1842</v>
      </c>
      <c r="D9" s="441" t="s">
        <v>0</v>
      </c>
      <c r="E9" s="1029">
        <v>56</v>
      </c>
      <c r="F9" s="1039"/>
      <c r="G9" s="1314">
        <f>SUM(E9*F9)</f>
        <v>0</v>
      </c>
      <c r="H9" s="442"/>
      <c r="I9" s="442"/>
    </row>
    <row r="10" spans="1:9" ht="25.5">
      <c r="A10" s="433" t="s">
        <v>1359</v>
      </c>
      <c r="B10" s="440" t="s">
        <v>1360</v>
      </c>
      <c r="C10" s="1019"/>
      <c r="D10" s="433"/>
      <c r="E10" s="1029"/>
      <c r="F10" s="1039"/>
      <c r="G10" s="1314"/>
    </row>
    <row r="11" spans="1:9">
      <c r="A11" s="433"/>
      <c r="B11" s="443"/>
      <c r="C11" s="1020"/>
      <c r="D11" s="444" t="s">
        <v>0</v>
      </c>
      <c r="E11" s="1029">
        <v>6</v>
      </c>
      <c r="F11" s="1039"/>
      <c r="G11" s="1314">
        <f>SUM(E11*F11)</f>
        <v>0</v>
      </c>
    </row>
    <row r="12" spans="1:9" ht="6.75" customHeight="1">
      <c r="A12" s="433"/>
      <c r="B12" s="443"/>
      <c r="C12" s="1020"/>
      <c r="D12" s="441"/>
      <c r="E12" s="1029"/>
      <c r="F12" s="1039"/>
      <c r="G12" s="1314"/>
    </row>
    <row r="13" spans="1:9" ht="63.75">
      <c r="A13" s="433" t="s">
        <v>1361</v>
      </c>
      <c r="B13" s="440" t="s">
        <v>1362</v>
      </c>
      <c r="C13" s="1019"/>
      <c r="D13" s="433"/>
      <c r="E13" s="1029"/>
      <c r="F13" s="1039"/>
      <c r="G13" s="1314"/>
    </row>
    <row r="14" spans="1:9">
      <c r="A14" s="433"/>
      <c r="B14" s="443"/>
      <c r="C14" s="1020"/>
      <c r="D14" s="444" t="s">
        <v>0</v>
      </c>
      <c r="E14" s="1029">
        <v>48</v>
      </c>
      <c r="F14" s="1039"/>
      <c r="G14" s="1314">
        <f>SUM(E14*F14)</f>
        <v>0</v>
      </c>
    </row>
    <row r="15" spans="1:9" ht="8.25" customHeight="1">
      <c r="A15" s="433"/>
      <c r="B15" s="443"/>
      <c r="C15" s="1020"/>
      <c r="D15" s="441"/>
      <c r="E15" s="1029"/>
      <c r="F15" s="1039"/>
      <c r="G15" s="1314"/>
    </row>
    <row r="16" spans="1:9" ht="38.25">
      <c r="A16" s="433" t="s">
        <v>1363</v>
      </c>
      <c r="B16" s="440" t="s">
        <v>1364</v>
      </c>
      <c r="C16" s="1019"/>
      <c r="D16" s="441"/>
      <c r="E16" s="1029"/>
      <c r="F16" s="1039"/>
      <c r="G16" s="1314"/>
    </row>
    <row r="17" spans="1:7">
      <c r="A17" s="433"/>
      <c r="B17" s="443" t="s">
        <v>1365</v>
      </c>
      <c r="C17" s="1020"/>
      <c r="D17" s="441" t="s">
        <v>0</v>
      </c>
      <c r="E17" s="1029">
        <v>10</v>
      </c>
      <c r="F17" s="1039"/>
      <c r="G17" s="1314"/>
    </row>
    <row r="18" spans="1:7" ht="8.25" customHeight="1">
      <c r="A18" s="433"/>
      <c r="B18" s="443"/>
      <c r="C18" s="1020"/>
      <c r="D18" s="441"/>
      <c r="E18" s="1029"/>
      <c r="F18" s="1039"/>
      <c r="G18" s="1314"/>
    </row>
    <row r="19" spans="1:7" ht="51">
      <c r="A19" s="433" t="s">
        <v>1366</v>
      </c>
      <c r="B19" s="440" t="s">
        <v>1367</v>
      </c>
      <c r="C19" s="1019"/>
      <c r="D19" s="433"/>
      <c r="E19" s="1029"/>
      <c r="F19" s="1039"/>
      <c r="G19" s="1314"/>
    </row>
    <row r="20" spans="1:7">
      <c r="A20" s="441"/>
      <c r="B20" s="443"/>
      <c r="C20" s="1020"/>
      <c r="D20" s="433" t="s">
        <v>56</v>
      </c>
      <c r="E20" s="1029">
        <v>125</v>
      </c>
      <c r="F20" s="1039"/>
      <c r="G20" s="1314">
        <f>SUM(E20*F20)</f>
        <v>0</v>
      </c>
    </row>
    <row r="21" spans="1:7">
      <c r="C21" s="1021"/>
      <c r="F21" s="1039"/>
      <c r="G21" s="1314"/>
    </row>
    <row r="22" spans="1:7">
      <c r="A22" s="447" t="s">
        <v>1355</v>
      </c>
      <c r="B22" s="448" t="s">
        <v>1368</v>
      </c>
      <c r="C22" s="1022"/>
      <c r="D22" s="1037"/>
      <c r="E22" s="1031"/>
      <c r="F22" s="1042"/>
      <c r="G22" s="1314">
        <f>SUM(G8:G21)</f>
        <v>0</v>
      </c>
    </row>
    <row r="23" spans="1:7">
      <c r="C23" s="1021"/>
      <c r="F23" s="1039"/>
      <c r="G23" s="1314"/>
    </row>
    <row r="24" spans="1:7" s="434" customFormat="1">
      <c r="A24" s="438" t="s">
        <v>1355</v>
      </c>
      <c r="B24" s="439" t="s">
        <v>1369</v>
      </c>
      <c r="C24" s="1023"/>
      <c r="D24" s="1035"/>
      <c r="E24" s="1032"/>
      <c r="F24" s="1039"/>
      <c r="G24" s="1314"/>
    </row>
    <row r="25" spans="1:7">
      <c r="C25" s="1021"/>
      <c r="E25" s="449"/>
      <c r="F25" s="1039"/>
      <c r="G25" s="1314"/>
    </row>
    <row r="26" spans="1:7" ht="103.5" customHeight="1">
      <c r="A26" s="431" t="s">
        <v>1357</v>
      </c>
      <c r="B26" s="440" t="s">
        <v>1370</v>
      </c>
      <c r="C26" s="1019"/>
      <c r="E26" s="449"/>
      <c r="F26" s="1039"/>
      <c r="G26" s="1314"/>
    </row>
    <row r="27" spans="1:7">
      <c r="B27" s="412" t="s">
        <v>1371</v>
      </c>
      <c r="C27" s="1002"/>
      <c r="E27" s="441"/>
      <c r="F27" s="1039"/>
      <c r="G27" s="1314"/>
    </row>
    <row r="28" spans="1:7">
      <c r="B28" s="445" t="s">
        <v>1372</v>
      </c>
      <c r="C28" s="1021"/>
      <c r="E28" s="441"/>
      <c r="F28" s="1039"/>
      <c r="G28" s="1314"/>
    </row>
    <row r="29" spans="1:7">
      <c r="B29" s="414" t="s">
        <v>1373</v>
      </c>
      <c r="C29" s="1003"/>
      <c r="D29" s="446" t="s">
        <v>56</v>
      </c>
      <c r="E29" s="441">
        <v>42</v>
      </c>
      <c r="F29" s="1039"/>
      <c r="G29" s="1314">
        <f t="shared" ref="G29:G30" si="0">SUM(E29*F29)</f>
        <v>0</v>
      </c>
    </row>
    <row r="30" spans="1:7">
      <c r="B30" s="414" t="s">
        <v>1374</v>
      </c>
      <c r="C30" s="1003"/>
      <c r="D30" s="446" t="s">
        <v>56</v>
      </c>
      <c r="E30" s="441">
        <v>4</v>
      </c>
      <c r="F30" s="1039"/>
      <c r="G30" s="1314">
        <f t="shared" si="0"/>
        <v>0</v>
      </c>
    </row>
    <row r="31" spans="1:7" ht="6.75" customHeight="1">
      <c r="B31" s="414"/>
      <c r="C31" s="1003"/>
      <c r="E31" s="441"/>
      <c r="F31" s="1039"/>
      <c r="G31" s="1314"/>
    </row>
    <row r="32" spans="1:7" ht="140.25">
      <c r="A32" s="431" t="s">
        <v>1359</v>
      </c>
      <c r="B32" s="440" t="s">
        <v>1375</v>
      </c>
      <c r="C32" s="1019"/>
      <c r="D32" s="413"/>
      <c r="F32" s="1039"/>
      <c r="G32" s="1314"/>
    </row>
    <row r="33" spans="1:7">
      <c r="B33" s="440" t="s">
        <v>1376</v>
      </c>
      <c r="C33" s="1019"/>
      <c r="F33" s="1039"/>
      <c r="G33" s="1314"/>
    </row>
    <row r="34" spans="1:7">
      <c r="B34" s="414" t="s">
        <v>1377</v>
      </c>
      <c r="C34" s="1003"/>
      <c r="D34" s="413" t="s">
        <v>56</v>
      </c>
      <c r="E34" s="1033">
        <v>20</v>
      </c>
      <c r="F34" s="1039"/>
      <c r="G34" s="1314">
        <f t="shared" ref="G34:G37" si="1">SUM(E34*F34)</f>
        <v>0</v>
      </c>
    </row>
    <row r="35" spans="1:7">
      <c r="B35" s="414" t="s">
        <v>1378</v>
      </c>
      <c r="C35" s="1003"/>
      <c r="D35" s="413" t="s">
        <v>56</v>
      </c>
      <c r="E35" s="1033">
        <v>15</v>
      </c>
      <c r="F35" s="1039"/>
      <c r="G35" s="1314">
        <f t="shared" si="1"/>
        <v>0</v>
      </c>
    </row>
    <row r="36" spans="1:7">
      <c r="B36" s="414" t="s">
        <v>1379</v>
      </c>
      <c r="C36" s="1003"/>
      <c r="D36" s="413" t="s">
        <v>56</v>
      </c>
      <c r="E36" s="1033">
        <v>32</v>
      </c>
      <c r="F36" s="1039"/>
      <c r="G36" s="1314">
        <f t="shared" si="1"/>
        <v>0</v>
      </c>
    </row>
    <row r="37" spans="1:7">
      <c r="B37" s="414" t="s">
        <v>1380</v>
      </c>
      <c r="C37" s="1003"/>
      <c r="D37" s="413" t="s">
        <v>56</v>
      </c>
      <c r="E37" s="1033">
        <v>18</v>
      </c>
      <c r="F37" s="1039"/>
      <c r="G37" s="1314">
        <f t="shared" si="1"/>
        <v>0</v>
      </c>
    </row>
    <row r="38" spans="1:7" ht="7.5" customHeight="1">
      <c r="B38" s="414"/>
      <c r="C38" s="1003"/>
      <c r="D38" s="413"/>
      <c r="E38" s="1033"/>
      <c r="F38" s="1039"/>
      <c r="G38" s="1314"/>
    </row>
    <row r="39" spans="1:7" ht="38.25">
      <c r="B39" s="440" t="s">
        <v>1381</v>
      </c>
      <c r="C39" s="1019"/>
      <c r="F39" s="1039"/>
      <c r="G39" s="1314"/>
    </row>
    <row r="40" spans="1:7">
      <c r="B40" s="414" t="s">
        <v>1379</v>
      </c>
      <c r="C40" s="1003"/>
      <c r="D40" s="413" t="s">
        <v>56</v>
      </c>
      <c r="E40" s="1033">
        <v>58</v>
      </c>
      <c r="F40" s="1039"/>
      <c r="G40" s="1314">
        <f t="shared" ref="G40:G41" si="2">SUM(E40*F40)</f>
        <v>0</v>
      </c>
    </row>
    <row r="41" spans="1:7">
      <c r="B41" s="414" t="s">
        <v>1380</v>
      </c>
      <c r="C41" s="1003"/>
      <c r="D41" s="413" t="s">
        <v>56</v>
      </c>
      <c r="E41" s="1033">
        <v>89</v>
      </c>
      <c r="F41" s="1039"/>
      <c r="G41" s="1314">
        <f t="shared" si="2"/>
        <v>0</v>
      </c>
    </row>
    <row r="42" spans="1:7" ht="7.5" customHeight="1">
      <c r="B42" s="414"/>
      <c r="C42" s="1003"/>
      <c r="D42" s="413"/>
      <c r="E42" s="1033"/>
      <c r="F42" s="1039"/>
      <c r="G42" s="1314"/>
    </row>
    <row r="43" spans="1:7" ht="63.75">
      <c r="A43" s="431" t="s">
        <v>1361</v>
      </c>
      <c r="B43" s="440" t="s">
        <v>1382</v>
      </c>
      <c r="C43" s="1019"/>
      <c r="F43" s="1039"/>
      <c r="G43" s="1314"/>
    </row>
    <row r="44" spans="1:7">
      <c r="B44" s="414" t="s">
        <v>1377</v>
      </c>
      <c r="C44" s="1003"/>
      <c r="D44" s="413" t="s">
        <v>11</v>
      </c>
      <c r="E44" s="1033">
        <v>2</v>
      </c>
      <c r="F44" s="1039"/>
      <c r="G44" s="1314">
        <f t="shared" ref="G44:G47" si="3">SUM(E44*F44)</f>
        <v>0</v>
      </c>
    </row>
    <row r="45" spans="1:7">
      <c r="B45" s="414" t="s">
        <v>1378</v>
      </c>
      <c r="C45" s="1003"/>
      <c r="D45" s="413" t="s">
        <v>11</v>
      </c>
      <c r="E45" s="1033">
        <v>1</v>
      </c>
      <c r="F45" s="1039"/>
      <c r="G45" s="1314">
        <f t="shared" si="3"/>
        <v>0</v>
      </c>
    </row>
    <row r="46" spans="1:7">
      <c r="B46" s="414" t="s">
        <v>1379</v>
      </c>
      <c r="C46" s="1003"/>
      <c r="D46" s="413" t="s">
        <v>11</v>
      </c>
      <c r="E46" s="1033">
        <v>7</v>
      </c>
      <c r="F46" s="1039"/>
      <c r="G46" s="1314">
        <f t="shared" si="3"/>
        <v>0</v>
      </c>
    </row>
    <row r="47" spans="1:7">
      <c r="B47" s="414" t="s">
        <v>1383</v>
      </c>
      <c r="C47" s="1003"/>
      <c r="D47" s="413" t="s">
        <v>11</v>
      </c>
      <c r="E47" s="1033">
        <v>5</v>
      </c>
      <c r="F47" s="1039"/>
      <c r="G47" s="1314">
        <f t="shared" si="3"/>
        <v>0</v>
      </c>
    </row>
    <row r="48" spans="1:7">
      <c r="C48" s="1021"/>
      <c r="F48" s="1039"/>
      <c r="G48" s="1314"/>
    </row>
    <row r="49" spans="1:7" ht="38.25">
      <c r="A49" s="431" t="s">
        <v>1363</v>
      </c>
      <c r="B49" s="440" t="s">
        <v>1384</v>
      </c>
      <c r="C49" s="1019"/>
      <c r="F49" s="1039"/>
      <c r="G49" s="1314"/>
    </row>
    <row r="50" spans="1:7">
      <c r="B50" s="414" t="s">
        <v>1379</v>
      </c>
      <c r="C50" s="1003"/>
      <c r="D50" s="413" t="s">
        <v>56</v>
      </c>
      <c r="E50" s="1033">
        <v>10</v>
      </c>
      <c r="F50" s="1039"/>
      <c r="G50" s="1314">
        <f t="shared" ref="G50:G51" si="4">SUM(E50*F50)</f>
        <v>0</v>
      </c>
    </row>
    <row r="51" spans="1:7">
      <c r="B51" s="414" t="s">
        <v>1380</v>
      </c>
      <c r="C51" s="1003"/>
      <c r="D51" s="413" t="s">
        <v>56</v>
      </c>
      <c r="E51" s="1033">
        <v>14</v>
      </c>
      <c r="F51" s="1039"/>
      <c r="G51" s="1314">
        <f t="shared" si="4"/>
        <v>0</v>
      </c>
    </row>
    <row r="52" spans="1:7" ht="7.5" customHeight="1">
      <c r="C52" s="1021"/>
      <c r="F52" s="1039"/>
      <c r="G52" s="1314"/>
    </row>
    <row r="53" spans="1:7" ht="38.25">
      <c r="A53" s="431" t="s">
        <v>1366</v>
      </c>
      <c r="B53" s="440" t="s">
        <v>1385</v>
      </c>
      <c r="C53" s="1019"/>
      <c r="F53" s="1039"/>
      <c r="G53" s="1314"/>
    </row>
    <row r="54" spans="1:7">
      <c r="C54" s="1021"/>
      <c r="D54" s="446" t="s">
        <v>11</v>
      </c>
      <c r="E54" s="1030">
        <v>46</v>
      </c>
      <c r="F54" s="1039"/>
      <c r="G54" s="1314">
        <f>SUM(E54*F54)</f>
        <v>0</v>
      </c>
    </row>
    <row r="55" spans="1:7" ht="24" customHeight="1">
      <c r="C55" s="1021"/>
      <c r="F55" s="1039"/>
      <c r="G55" s="1314"/>
    </row>
    <row r="56" spans="1:7" ht="38.25">
      <c r="A56" s="431" t="s">
        <v>1386</v>
      </c>
      <c r="B56" s="440" t="s">
        <v>1387</v>
      </c>
      <c r="C56" s="1019"/>
      <c r="F56" s="1039"/>
      <c r="G56" s="1314"/>
    </row>
    <row r="57" spans="1:7">
      <c r="B57" s="414" t="s">
        <v>1380</v>
      </c>
      <c r="C57" s="1003"/>
      <c r="D57" s="413" t="s">
        <v>11</v>
      </c>
      <c r="E57" s="1033">
        <v>4</v>
      </c>
      <c r="F57" s="1039"/>
      <c r="G57" s="1314">
        <f>SUM(E57*F57)</f>
        <v>0</v>
      </c>
    </row>
    <row r="58" spans="1:7" ht="7.5" customHeight="1">
      <c r="C58" s="1021"/>
      <c r="F58" s="1039"/>
      <c r="G58" s="1314"/>
    </row>
    <row r="59" spans="1:7" ht="38.25">
      <c r="A59" s="431" t="s">
        <v>1388</v>
      </c>
      <c r="B59" s="450" t="s">
        <v>1389</v>
      </c>
      <c r="C59" s="1024"/>
      <c r="F59" s="1039"/>
      <c r="G59" s="1314"/>
    </row>
    <row r="60" spans="1:7">
      <c r="B60" s="445" t="s">
        <v>1390</v>
      </c>
      <c r="C60" s="1021"/>
      <c r="D60" s="446" t="s">
        <v>11</v>
      </c>
      <c r="E60" s="1030">
        <v>2</v>
      </c>
      <c r="F60" s="1039"/>
      <c r="G60" s="1314">
        <f t="shared" ref="G60:G61" si="5">SUM(E60*F60)</f>
        <v>0</v>
      </c>
    </row>
    <row r="61" spans="1:7">
      <c r="B61" s="445" t="s">
        <v>1391</v>
      </c>
      <c r="C61" s="1021"/>
      <c r="D61" s="446" t="s">
        <v>11</v>
      </c>
      <c r="E61" s="1030">
        <v>10</v>
      </c>
      <c r="F61" s="1039"/>
      <c r="G61" s="1314">
        <f t="shared" si="5"/>
        <v>0</v>
      </c>
    </row>
    <row r="62" spans="1:7" ht="6.75" customHeight="1">
      <c r="C62" s="1021"/>
      <c r="F62" s="1039"/>
      <c r="G62" s="1314"/>
    </row>
    <row r="63" spans="1:7" ht="25.5">
      <c r="A63" s="431" t="s">
        <v>1392</v>
      </c>
      <c r="B63" s="440" t="s">
        <v>1393</v>
      </c>
      <c r="C63" s="1019"/>
      <c r="D63" s="413" t="s">
        <v>1394</v>
      </c>
      <c r="F63" s="1039"/>
      <c r="G63" s="1314"/>
    </row>
    <row r="64" spans="1:7">
      <c r="B64" s="440" t="s">
        <v>1395</v>
      </c>
      <c r="C64" s="1019"/>
      <c r="D64" s="446" t="s">
        <v>11</v>
      </c>
      <c r="E64" s="1030">
        <v>2</v>
      </c>
      <c r="F64" s="1039"/>
      <c r="G64" s="1314">
        <f>SUM(E64*F64)</f>
        <v>0</v>
      </c>
    </row>
    <row r="65" spans="1:7" ht="8.25" customHeight="1">
      <c r="B65" s="412"/>
      <c r="C65" s="1002"/>
      <c r="F65" s="1039"/>
      <c r="G65" s="1314"/>
    </row>
    <row r="66" spans="1:7" ht="51">
      <c r="A66" s="431" t="s">
        <v>1396</v>
      </c>
      <c r="B66" s="440" t="s">
        <v>1397</v>
      </c>
      <c r="C66" s="1019"/>
      <c r="D66" s="413" t="s">
        <v>1394</v>
      </c>
      <c r="F66" s="1039"/>
      <c r="G66" s="1314"/>
    </row>
    <row r="67" spans="1:7">
      <c r="B67" s="440"/>
      <c r="C67" s="1019"/>
      <c r="D67" s="446" t="s">
        <v>11</v>
      </c>
      <c r="E67" s="1030">
        <v>1</v>
      </c>
      <c r="F67" s="1039"/>
      <c r="G67" s="1314">
        <f>SUM(E67*F67)</f>
        <v>0</v>
      </c>
    </row>
    <row r="68" spans="1:7" ht="8.25" customHeight="1">
      <c r="B68" s="412"/>
      <c r="C68" s="1002"/>
      <c r="F68" s="1039"/>
      <c r="G68" s="1314"/>
    </row>
    <row r="69" spans="1:7" ht="38.25">
      <c r="A69" s="431" t="s">
        <v>1398</v>
      </c>
      <c r="B69" s="440" t="s">
        <v>1399</v>
      </c>
      <c r="C69" s="1019"/>
      <c r="D69" s="413" t="s">
        <v>1394</v>
      </c>
      <c r="F69" s="1039"/>
      <c r="G69" s="1314"/>
    </row>
    <row r="70" spans="1:7">
      <c r="B70" s="440"/>
      <c r="C70" s="1019"/>
      <c r="D70" s="413" t="s">
        <v>56</v>
      </c>
      <c r="E70" s="1030">
        <v>278</v>
      </c>
      <c r="F70" s="1039"/>
      <c r="G70" s="1314">
        <f>SUM(E70*F70)</f>
        <v>0</v>
      </c>
    </row>
    <row r="71" spans="1:7" ht="8.25" customHeight="1">
      <c r="B71" s="412"/>
      <c r="C71" s="1002"/>
      <c r="F71" s="1039"/>
      <c r="G71" s="1314"/>
    </row>
    <row r="72" spans="1:7" ht="51">
      <c r="A72" s="431" t="s">
        <v>1400</v>
      </c>
      <c r="B72" s="440" t="s">
        <v>1401</v>
      </c>
      <c r="C72" s="1019"/>
      <c r="F72" s="1039"/>
      <c r="G72" s="1314"/>
    </row>
    <row r="73" spans="1:7">
      <c r="C73" s="1021"/>
      <c r="D73" s="413" t="s">
        <v>56</v>
      </c>
      <c r="E73" s="1030">
        <v>278</v>
      </c>
      <c r="F73" s="1039"/>
      <c r="G73" s="1314">
        <f>SUM(E73*F73)</f>
        <v>0</v>
      </c>
    </row>
    <row r="74" spans="1:7">
      <c r="C74" s="1021"/>
      <c r="F74" s="1039"/>
    </row>
    <row r="75" spans="1:7">
      <c r="A75" s="447" t="s">
        <v>1355</v>
      </c>
      <c r="B75" s="448" t="s">
        <v>1402</v>
      </c>
      <c r="C75" s="1022"/>
      <c r="D75" s="1037"/>
      <c r="E75" s="1031"/>
      <c r="F75" s="1040"/>
      <c r="G75" s="1026">
        <f>SUM(G26:G74)</f>
        <v>0</v>
      </c>
    </row>
    <row r="76" spans="1:7" ht="13.5" thickBot="1">
      <c r="C76" s="1021"/>
      <c r="F76" s="1041"/>
      <c r="G76" s="1027"/>
    </row>
    <row r="77" spans="1:7" ht="14.25" thickTop="1" thickBot="1">
      <c r="A77" s="451"/>
      <c r="B77" s="452" t="s">
        <v>1403</v>
      </c>
      <c r="C77" s="1025"/>
      <c r="D77" s="453"/>
      <c r="E77" s="1038"/>
      <c r="F77" s="1038"/>
      <c r="G77" s="1028">
        <f>G75+G22</f>
        <v>0</v>
      </c>
    </row>
    <row r="78" spans="1:7" ht="13.5" thickTop="1">
      <c r="C78" s="1021"/>
    </row>
  </sheetData>
  <sheetProtection password="CB29" sheet="1" formatCells="0" formatColumns="0" formatRows="0" insertColumns="0" insertRows="0" insertHyperlinks="0" deleteColumns="0" deleteRows="0" sort="0" autoFilter="0" pivotTables="0"/>
  <mergeCells count="2">
    <mergeCell ref="B2:D2"/>
    <mergeCell ref="B3:D3"/>
  </mergeCells>
  <conditionalFormatting sqref="G9">
    <cfRule type="cellIs" dxfId="4" priority="2" operator="equal">
      <formula>0</formula>
    </cfRule>
  </conditionalFormatting>
  <conditionalFormatting sqref="G10:G73">
    <cfRule type="cellIs" dxfId="2" priority="1" operator="equal">
      <formula>0</formula>
    </cfRule>
  </conditionalFormatting>
  <pageMargins left="0.7" right="0.7" top="0.75" bottom="0.75" header="0.3" footer="0.3"/>
  <pageSetup paperSize="9" scale="70" orientation="portrait" horizontalDpi="1200" verticalDpi="1200"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topLeftCell="A28" zoomScale="130" zoomScaleNormal="100" zoomScaleSheetLayoutView="130" workbookViewId="0">
      <selection activeCell="G30" sqref="G30"/>
    </sheetView>
  </sheetViews>
  <sheetFormatPr defaultRowHeight="14.25"/>
  <cols>
    <col min="1" max="1" width="4.7109375" style="662" customWidth="1"/>
    <col min="2" max="2" width="41.42578125" style="669" customWidth="1"/>
    <col min="3" max="3" width="17.140625" style="669" customWidth="1"/>
    <col min="4" max="4" width="7.5703125" style="1053" customWidth="1"/>
    <col min="5" max="5" width="7.5703125" style="1047" customWidth="1"/>
    <col min="6" max="6" width="7.7109375" style="329" customWidth="1"/>
    <col min="7" max="7" width="9.28515625" style="329" customWidth="1"/>
    <col min="8" max="257" width="9.140625" style="653"/>
    <col min="258" max="258" width="4.7109375" style="653" customWidth="1"/>
    <col min="259" max="259" width="41.42578125" style="653" customWidth="1"/>
    <col min="260" max="260" width="7.5703125" style="653" customWidth="1"/>
    <col min="261" max="261" width="7" style="653" customWidth="1"/>
    <col min="262" max="262" width="10.140625" style="653" customWidth="1"/>
    <col min="263" max="263" width="11.7109375" style="653" customWidth="1"/>
    <col min="264" max="513" width="9.140625" style="653"/>
    <col min="514" max="514" width="4.7109375" style="653" customWidth="1"/>
    <col min="515" max="515" width="41.42578125" style="653" customWidth="1"/>
    <col min="516" max="516" width="7.5703125" style="653" customWidth="1"/>
    <col min="517" max="517" width="7" style="653" customWidth="1"/>
    <col min="518" max="518" width="10.140625" style="653" customWidth="1"/>
    <col min="519" max="519" width="11.7109375" style="653" customWidth="1"/>
    <col min="520" max="769" width="9.140625" style="653"/>
    <col min="770" max="770" width="4.7109375" style="653" customWidth="1"/>
    <col min="771" max="771" width="41.42578125" style="653" customWidth="1"/>
    <col min="772" max="772" width="7.5703125" style="653" customWidth="1"/>
    <col min="773" max="773" width="7" style="653" customWidth="1"/>
    <col min="774" max="774" width="10.140625" style="653" customWidth="1"/>
    <col min="775" max="775" width="11.7109375" style="653" customWidth="1"/>
    <col min="776" max="1025" width="9.140625" style="653"/>
    <col min="1026" max="1026" width="4.7109375" style="653" customWidth="1"/>
    <col min="1027" max="1027" width="41.42578125" style="653" customWidth="1"/>
    <col min="1028" max="1028" width="7.5703125" style="653" customWidth="1"/>
    <col min="1029" max="1029" width="7" style="653" customWidth="1"/>
    <col min="1030" max="1030" width="10.140625" style="653" customWidth="1"/>
    <col min="1031" max="1031" width="11.7109375" style="653" customWidth="1"/>
    <col min="1032" max="1281" width="9.140625" style="653"/>
    <col min="1282" max="1282" width="4.7109375" style="653" customWidth="1"/>
    <col min="1283" max="1283" width="41.42578125" style="653" customWidth="1"/>
    <col min="1284" max="1284" width="7.5703125" style="653" customWidth="1"/>
    <col min="1285" max="1285" width="7" style="653" customWidth="1"/>
    <col min="1286" max="1286" width="10.140625" style="653" customWidth="1"/>
    <col min="1287" max="1287" width="11.7109375" style="653" customWidth="1"/>
    <col min="1288" max="1537" width="9.140625" style="653"/>
    <col min="1538" max="1538" width="4.7109375" style="653" customWidth="1"/>
    <col min="1539" max="1539" width="41.42578125" style="653" customWidth="1"/>
    <col min="1540" max="1540" width="7.5703125" style="653" customWidth="1"/>
    <col min="1541" max="1541" width="7" style="653" customWidth="1"/>
    <col min="1542" max="1542" width="10.140625" style="653" customWidth="1"/>
    <col min="1543" max="1543" width="11.7109375" style="653" customWidth="1"/>
    <col min="1544" max="1793" width="9.140625" style="653"/>
    <col min="1794" max="1794" width="4.7109375" style="653" customWidth="1"/>
    <col min="1795" max="1795" width="41.42578125" style="653" customWidth="1"/>
    <col min="1796" max="1796" width="7.5703125" style="653" customWidth="1"/>
    <col min="1797" max="1797" width="7" style="653" customWidth="1"/>
    <col min="1798" max="1798" width="10.140625" style="653" customWidth="1"/>
    <col min="1799" max="1799" width="11.7109375" style="653" customWidth="1"/>
    <col min="1800" max="2049" width="9.140625" style="653"/>
    <col min="2050" max="2050" width="4.7109375" style="653" customWidth="1"/>
    <col min="2051" max="2051" width="41.42578125" style="653" customWidth="1"/>
    <col min="2052" max="2052" width="7.5703125" style="653" customWidth="1"/>
    <col min="2053" max="2053" width="7" style="653" customWidth="1"/>
    <col min="2054" max="2054" width="10.140625" style="653" customWidth="1"/>
    <col min="2055" max="2055" width="11.7109375" style="653" customWidth="1"/>
    <col min="2056" max="2305" width="9.140625" style="653"/>
    <col min="2306" max="2306" width="4.7109375" style="653" customWidth="1"/>
    <col min="2307" max="2307" width="41.42578125" style="653" customWidth="1"/>
    <col min="2308" max="2308" width="7.5703125" style="653" customWidth="1"/>
    <col min="2309" max="2309" width="7" style="653" customWidth="1"/>
    <col min="2310" max="2310" width="10.140625" style="653" customWidth="1"/>
    <col min="2311" max="2311" width="11.7109375" style="653" customWidth="1"/>
    <col min="2312" max="2561" width="9.140625" style="653"/>
    <col min="2562" max="2562" width="4.7109375" style="653" customWidth="1"/>
    <col min="2563" max="2563" width="41.42578125" style="653" customWidth="1"/>
    <col min="2564" max="2564" width="7.5703125" style="653" customWidth="1"/>
    <col min="2565" max="2565" width="7" style="653" customWidth="1"/>
    <col min="2566" max="2566" width="10.140625" style="653" customWidth="1"/>
    <col min="2567" max="2567" width="11.7109375" style="653" customWidth="1"/>
    <col min="2568" max="2817" width="9.140625" style="653"/>
    <col min="2818" max="2818" width="4.7109375" style="653" customWidth="1"/>
    <col min="2819" max="2819" width="41.42578125" style="653" customWidth="1"/>
    <col min="2820" max="2820" width="7.5703125" style="653" customWidth="1"/>
    <col min="2821" max="2821" width="7" style="653" customWidth="1"/>
    <col min="2822" max="2822" width="10.140625" style="653" customWidth="1"/>
    <col min="2823" max="2823" width="11.7109375" style="653" customWidth="1"/>
    <col min="2824" max="3073" width="9.140625" style="653"/>
    <col min="3074" max="3074" width="4.7109375" style="653" customWidth="1"/>
    <col min="3075" max="3075" width="41.42578125" style="653" customWidth="1"/>
    <col min="3076" max="3076" width="7.5703125" style="653" customWidth="1"/>
    <col min="3077" max="3077" width="7" style="653" customWidth="1"/>
    <col min="3078" max="3078" width="10.140625" style="653" customWidth="1"/>
    <col min="3079" max="3079" width="11.7109375" style="653" customWidth="1"/>
    <col min="3080" max="3329" width="9.140625" style="653"/>
    <col min="3330" max="3330" width="4.7109375" style="653" customWidth="1"/>
    <col min="3331" max="3331" width="41.42578125" style="653" customWidth="1"/>
    <col min="3332" max="3332" width="7.5703125" style="653" customWidth="1"/>
    <col min="3333" max="3333" width="7" style="653" customWidth="1"/>
    <col min="3334" max="3334" width="10.140625" style="653" customWidth="1"/>
    <col min="3335" max="3335" width="11.7109375" style="653" customWidth="1"/>
    <col min="3336" max="3585" width="9.140625" style="653"/>
    <col min="3586" max="3586" width="4.7109375" style="653" customWidth="1"/>
    <col min="3587" max="3587" width="41.42578125" style="653" customWidth="1"/>
    <col min="3588" max="3588" width="7.5703125" style="653" customWidth="1"/>
    <col min="3589" max="3589" width="7" style="653" customWidth="1"/>
    <col min="3590" max="3590" width="10.140625" style="653" customWidth="1"/>
    <col min="3591" max="3591" width="11.7109375" style="653" customWidth="1"/>
    <col min="3592" max="3841" width="9.140625" style="653"/>
    <col min="3842" max="3842" width="4.7109375" style="653" customWidth="1"/>
    <col min="3843" max="3843" width="41.42578125" style="653" customWidth="1"/>
    <col min="3844" max="3844" width="7.5703125" style="653" customWidth="1"/>
    <col min="3845" max="3845" width="7" style="653" customWidth="1"/>
    <col min="3846" max="3846" width="10.140625" style="653" customWidth="1"/>
    <col min="3847" max="3847" width="11.7109375" style="653" customWidth="1"/>
    <col min="3848" max="4097" width="9.140625" style="653"/>
    <col min="4098" max="4098" width="4.7109375" style="653" customWidth="1"/>
    <col min="4099" max="4099" width="41.42578125" style="653" customWidth="1"/>
    <col min="4100" max="4100" width="7.5703125" style="653" customWidth="1"/>
    <col min="4101" max="4101" width="7" style="653" customWidth="1"/>
    <col min="4102" max="4102" width="10.140625" style="653" customWidth="1"/>
    <col min="4103" max="4103" width="11.7109375" style="653" customWidth="1"/>
    <col min="4104" max="4353" width="9.140625" style="653"/>
    <col min="4354" max="4354" width="4.7109375" style="653" customWidth="1"/>
    <col min="4355" max="4355" width="41.42578125" style="653" customWidth="1"/>
    <col min="4356" max="4356" width="7.5703125" style="653" customWidth="1"/>
    <col min="4357" max="4357" width="7" style="653" customWidth="1"/>
    <col min="4358" max="4358" width="10.140625" style="653" customWidth="1"/>
    <col min="4359" max="4359" width="11.7109375" style="653" customWidth="1"/>
    <col min="4360" max="4609" width="9.140625" style="653"/>
    <col min="4610" max="4610" width="4.7109375" style="653" customWidth="1"/>
    <col min="4611" max="4611" width="41.42578125" style="653" customWidth="1"/>
    <col min="4612" max="4612" width="7.5703125" style="653" customWidth="1"/>
    <col min="4613" max="4613" width="7" style="653" customWidth="1"/>
    <col min="4614" max="4614" width="10.140625" style="653" customWidth="1"/>
    <col min="4615" max="4615" width="11.7109375" style="653" customWidth="1"/>
    <col min="4616" max="4865" width="9.140625" style="653"/>
    <col min="4866" max="4866" width="4.7109375" style="653" customWidth="1"/>
    <col min="4867" max="4867" width="41.42578125" style="653" customWidth="1"/>
    <col min="4868" max="4868" width="7.5703125" style="653" customWidth="1"/>
    <col min="4869" max="4869" width="7" style="653" customWidth="1"/>
    <col min="4870" max="4870" width="10.140625" style="653" customWidth="1"/>
    <col min="4871" max="4871" width="11.7109375" style="653" customWidth="1"/>
    <col min="4872" max="5121" width="9.140625" style="653"/>
    <col min="5122" max="5122" width="4.7109375" style="653" customWidth="1"/>
    <col min="5123" max="5123" width="41.42578125" style="653" customWidth="1"/>
    <col min="5124" max="5124" width="7.5703125" style="653" customWidth="1"/>
    <col min="5125" max="5125" width="7" style="653" customWidth="1"/>
    <col min="5126" max="5126" width="10.140625" style="653" customWidth="1"/>
    <col min="5127" max="5127" width="11.7109375" style="653" customWidth="1"/>
    <col min="5128" max="5377" width="9.140625" style="653"/>
    <col min="5378" max="5378" width="4.7109375" style="653" customWidth="1"/>
    <col min="5379" max="5379" width="41.42578125" style="653" customWidth="1"/>
    <col min="5380" max="5380" width="7.5703125" style="653" customWidth="1"/>
    <col min="5381" max="5381" width="7" style="653" customWidth="1"/>
    <col min="5382" max="5382" width="10.140625" style="653" customWidth="1"/>
    <col min="5383" max="5383" width="11.7109375" style="653" customWidth="1"/>
    <col min="5384" max="5633" width="9.140625" style="653"/>
    <col min="5634" max="5634" width="4.7109375" style="653" customWidth="1"/>
    <col min="5635" max="5635" width="41.42578125" style="653" customWidth="1"/>
    <col min="5636" max="5636" width="7.5703125" style="653" customWidth="1"/>
    <col min="5637" max="5637" width="7" style="653" customWidth="1"/>
    <col min="5638" max="5638" width="10.140625" style="653" customWidth="1"/>
    <col min="5639" max="5639" width="11.7109375" style="653" customWidth="1"/>
    <col min="5640" max="5889" width="9.140625" style="653"/>
    <col min="5890" max="5890" width="4.7109375" style="653" customWidth="1"/>
    <col min="5891" max="5891" width="41.42578125" style="653" customWidth="1"/>
    <col min="5892" max="5892" width="7.5703125" style="653" customWidth="1"/>
    <col min="5893" max="5893" width="7" style="653" customWidth="1"/>
    <col min="5894" max="5894" width="10.140625" style="653" customWidth="1"/>
    <col min="5895" max="5895" width="11.7109375" style="653" customWidth="1"/>
    <col min="5896" max="6145" width="9.140625" style="653"/>
    <col min="6146" max="6146" width="4.7109375" style="653" customWidth="1"/>
    <col min="6147" max="6147" width="41.42578125" style="653" customWidth="1"/>
    <col min="6148" max="6148" width="7.5703125" style="653" customWidth="1"/>
    <col min="6149" max="6149" width="7" style="653" customWidth="1"/>
    <col min="6150" max="6150" width="10.140625" style="653" customWidth="1"/>
    <col min="6151" max="6151" width="11.7109375" style="653" customWidth="1"/>
    <col min="6152" max="6401" width="9.140625" style="653"/>
    <col min="6402" max="6402" width="4.7109375" style="653" customWidth="1"/>
    <col min="6403" max="6403" width="41.42578125" style="653" customWidth="1"/>
    <col min="6404" max="6404" width="7.5703125" style="653" customWidth="1"/>
    <col min="6405" max="6405" width="7" style="653" customWidth="1"/>
    <col min="6406" max="6406" width="10.140625" style="653" customWidth="1"/>
    <col min="6407" max="6407" width="11.7109375" style="653" customWidth="1"/>
    <col min="6408" max="6657" width="9.140625" style="653"/>
    <col min="6658" max="6658" width="4.7109375" style="653" customWidth="1"/>
    <col min="6659" max="6659" width="41.42578125" style="653" customWidth="1"/>
    <col min="6660" max="6660" width="7.5703125" style="653" customWidth="1"/>
    <col min="6661" max="6661" width="7" style="653" customWidth="1"/>
    <col min="6662" max="6662" width="10.140625" style="653" customWidth="1"/>
    <col min="6663" max="6663" width="11.7109375" style="653" customWidth="1"/>
    <col min="6664" max="6913" width="9.140625" style="653"/>
    <col min="6914" max="6914" width="4.7109375" style="653" customWidth="1"/>
    <col min="6915" max="6915" width="41.42578125" style="653" customWidth="1"/>
    <col min="6916" max="6916" width="7.5703125" style="653" customWidth="1"/>
    <col min="6917" max="6917" width="7" style="653" customWidth="1"/>
    <col min="6918" max="6918" width="10.140625" style="653" customWidth="1"/>
    <col min="6919" max="6919" width="11.7109375" style="653" customWidth="1"/>
    <col min="6920" max="7169" width="9.140625" style="653"/>
    <col min="7170" max="7170" width="4.7109375" style="653" customWidth="1"/>
    <col min="7171" max="7171" width="41.42578125" style="653" customWidth="1"/>
    <col min="7172" max="7172" width="7.5703125" style="653" customWidth="1"/>
    <col min="7173" max="7173" width="7" style="653" customWidth="1"/>
    <col min="7174" max="7174" width="10.140625" style="653" customWidth="1"/>
    <col min="7175" max="7175" width="11.7109375" style="653" customWidth="1"/>
    <col min="7176" max="7425" width="9.140625" style="653"/>
    <col min="7426" max="7426" width="4.7109375" style="653" customWidth="1"/>
    <col min="7427" max="7427" width="41.42578125" style="653" customWidth="1"/>
    <col min="7428" max="7428" width="7.5703125" style="653" customWidth="1"/>
    <col min="7429" max="7429" width="7" style="653" customWidth="1"/>
    <col min="7430" max="7430" width="10.140625" style="653" customWidth="1"/>
    <col min="7431" max="7431" width="11.7109375" style="653" customWidth="1"/>
    <col min="7432" max="7681" width="9.140625" style="653"/>
    <col min="7682" max="7682" width="4.7109375" style="653" customWidth="1"/>
    <col min="7683" max="7683" width="41.42578125" style="653" customWidth="1"/>
    <col min="7684" max="7684" width="7.5703125" style="653" customWidth="1"/>
    <col min="7685" max="7685" width="7" style="653" customWidth="1"/>
    <col min="7686" max="7686" width="10.140625" style="653" customWidth="1"/>
    <col min="7687" max="7687" width="11.7109375" style="653" customWidth="1"/>
    <col min="7688" max="7937" width="9.140625" style="653"/>
    <col min="7938" max="7938" width="4.7109375" style="653" customWidth="1"/>
    <col min="7939" max="7939" width="41.42578125" style="653" customWidth="1"/>
    <col min="7940" max="7940" width="7.5703125" style="653" customWidth="1"/>
    <col min="7941" max="7941" width="7" style="653" customWidth="1"/>
    <col min="7942" max="7942" width="10.140625" style="653" customWidth="1"/>
    <col min="7943" max="7943" width="11.7109375" style="653" customWidth="1"/>
    <col min="7944" max="8193" width="9.140625" style="653"/>
    <col min="8194" max="8194" width="4.7109375" style="653" customWidth="1"/>
    <col min="8195" max="8195" width="41.42578125" style="653" customWidth="1"/>
    <col min="8196" max="8196" width="7.5703125" style="653" customWidth="1"/>
    <col min="8197" max="8197" width="7" style="653" customWidth="1"/>
    <col min="8198" max="8198" width="10.140625" style="653" customWidth="1"/>
    <col min="8199" max="8199" width="11.7109375" style="653" customWidth="1"/>
    <col min="8200" max="8449" width="9.140625" style="653"/>
    <col min="8450" max="8450" width="4.7109375" style="653" customWidth="1"/>
    <col min="8451" max="8451" width="41.42578125" style="653" customWidth="1"/>
    <col min="8452" max="8452" width="7.5703125" style="653" customWidth="1"/>
    <col min="8453" max="8453" width="7" style="653" customWidth="1"/>
    <col min="8454" max="8454" width="10.140625" style="653" customWidth="1"/>
    <col min="8455" max="8455" width="11.7109375" style="653" customWidth="1"/>
    <col min="8456" max="8705" width="9.140625" style="653"/>
    <col min="8706" max="8706" width="4.7109375" style="653" customWidth="1"/>
    <col min="8707" max="8707" width="41.42578125" style="653" customWidth="1"/>
    <col min="8708" max="8708" width="7.5703125" style="653" customWidth="1"/>
    <col min="8709" max="8709" width="7" style="653" customWidth="1"/>
    <col min="8710" max="8710" width="10.140625" style="653" customWidth="1"/>
    <col min="8711" max="8711" width="11.7109375" style="653" customWidth="1"/>
    <col min="8712" max="8961" width="9.140625" style="653"/>
    <col min="8962" max="8962" width="4.7109375" style="653" customWidth="1"/>
    <col min="8963" max="8963" width="41.42578125" style="653" customWidth="1"/>
    <col min="8964" max="8964" width="7.5703125" style="653" customWidth="1"/>
    <col min="8965" max="8965" width="7" style="653" customWidth="1"/>
    <col min="8966" max="8966" width="10.140625" style="653" customWidth="1"/>
    <col min="8967" max="8967" width="11.7109375" style="653" customWidth="1"/>
    <col min="8968" max="9217" width="9.140625" style="653"/>
    <col min="9218" max="9218" width="4.7109375" style="653" customWidth="1"/>
    <col min="9219" max="9219" width="41.42578125" style="653" customWidth="1"/>
    <col min="9220" max="9220" width="7.5703125" style="653" customWidth="1"/>
    <col min="9221" max="9221" width="7" style="653" customWidth="1"/>
    <col min="9222" max="9222" width="10.140625" style="653" customWidth="1"/>
    <col min="9223" max="9223" width="11.7109375" style="653" customWidth="1"/>
    <col min="9224" max="9473" width="9.140625" style="653"/>
    <col min="9474" max="9474" width="4.7109375" style="653" customWidth="1"/>
    <col min="9475" max="9475" width="41.42578125" style="653" customWidth="1"/>
    <col min="9476" max="9476" width="7.5703125" style="653" customWidth="1"/>
    <col min="9477" max="9477" width="7" style="653" customWidth="1"/>
    <col min="9478" max="9478" width="10.140625" style="653" customWidth="1"/>
    <col min="9479" max="9479" width="11.7109375" style="653" customWidth="1"/>
    <col min="9480" max="9729" width="9.140625" style="653"/>
    <col min="9730" max="9730" width="4.7109375" style="653" customWidth="1"/>
    <col min="9731" max="9731" width="41.42578125" style="653" customWidth="1"/>
    <col min="9732" max="9732" width="7.5703125" style="653" customWidth="1"/>
    <col min="9733" max="9733" width="7" style="653" customWidth="1"/>
    <col min="9734" max="9734" width="10.140625" style="653" customWidth="1"/>
    <col min="9735" max="9735" width="11.7109375" style="653" customWidth="1"/>
    <col min="9736" max="9985" width="9.140625" style="653"/>
    <col min="9986" max="9986" width="4.7109375" style="653" customWidth="1"/>
    <col min="9987" max="9987" width="41.42578125" style="653" customWidth="1"/>
    <col min="9988" max="9988" width="7.5703125" style="653" customWidth="1"/>
    <col min="9989" max="9989" width="7" style="653" customWidth="1"/>
    <col min="9990" max="9990" width="10.140625" style="653" customWidth="1"/>
    <col min="9991" max="9991" width="11.7109375" style="653" customWidth="1"/>
    <col min="9992" max="10241" width="9.140625" style="653"/>
    <col min="10242" max="10242" width="4.7109375" style="653" customWidth="1"/>
    <col min="10243" max="10243" width="41.42578125" style="653" customWidth="1"/>
    <col min="10244" max="10244" width="7.5703125" style="653" customWidth="1"/>
    <col min="10245" max="10245" width="7" style="653" customWidth="1"/>
    <col min="10246" max="10246" width="10.140625" style="653" customWidth="1"/>
    <col min="10247" max="10247" width="11.7109375" style="653" customWidth="1"/>
    <col min="10248" max="10497" width="9.140625" style="653"/>
    <col min="10498" max="10498" width="4.7109375" style="653" customWidth="1"/>
    <col min="10499" max="10499" width="41.42578125" style="653" customWidth="1"/>
    <col min="10500" max="10500" width="7.5703125" style="653" customWidth="1"/>
    <col min="10501" max="10501" width="7" style="653" customWidth="1"/>
    <col min="10502" max="10502" width="10.140625" style="653" customWidth="1"/>
    <col min="10503" max="10503" width="11.7109375" style="653" customWidth="1"/>
    <col min="10504" max="10753" width="9.140625" style="653"/>
    <col min="10754" max="10754" width="4.7109375" style="653" customWidth="1"/>
    <col min="10755" max="10755" width="41.42578125" style="653" customWidth="1"/>
    <col min="10756" max="10756" width="7.5703125" style="653" customWidth="1"/>
    <col min="10757" max="10757" width="7" style="653" customWidth="1"/>
    <col min="10758" max="10758" width="10.140625" style="653" customWidth="1"/>
    <col min="10759" max="10759" width="11.7109375" style="653" customWidth="1"/>
    <col min="10760" max="11009" width="9.140625" style="653"/>
    <col min="11010" max="11010" width="4.7109375" style="653" customWidth="1"/>
    <col min="11011" max="11011" width="41.42578125" style="653" customWidth="1"/>
    <col min="11012" max="11012" width="7.5703125" style="653" customWidth="1"/>
    <col min="11013" max="11013" width="7" style="653" customWidth="1"/>
    <col min="11014" max="11014" width="10.140625" style="653" customWidth="1"/>
    <col min="11015" max="11015" width="11.7109375" style="653" customWidth="1"/>
    <col min="11016" max="11265" width="9.140625" style="653"/>
    <col min="11266" max="11266" width="4.7109375" style="653" customWidth="1"/>
    <col min="11267" max="11267" width="41.42578125" style="653" customWidth="1"/>
    <col min="11268" max="11268" width="7.5703125" style="653" customWidth="1"/>
    <col min="11269" max="11269" width="7" style="653" customWidth="1"/>
    <col min="11270" max="11270" width="10.140625" style="653" customWidth="1"/>
    <col min="11271" max="11271" width="11.7109375" style="653" customWidth="1"/>
    <col min="11272" max="11521" width="9.140625" style="653"/>
    <col min="11522" max="11522" width="4.7109375" style="653" customWidth="1"/>
    <col min="11523" max="11523" width="41.42578125" style="653" customWidth="1"/>
    <col min="11524" max="11524" width="7.5703125" style="653" customWidth="1"/>
    <col min="11525" max="11525" width="7" style="653" customWidth="1"/>
    <col min="11526" max="11526" width="10.140625" style="653" customWidth="1"/>
    <col min="11527" max="11527" width="11.7109375" style="653" customWidth="1"/>
    <col min="11528" max="11777" width="9.140625" style="653"/>
    <col min="11778" max="11778" width="4.7109375" style="653" customWidth="1"/>
    <col min="11779" max="11779" width="41.42578125" style="653" customWidth="1"/>
    <col min="11780" max="11780" width="7.5703125" style="653" customWidth="1"/>
    <col min="11781" max="11781" width="7" style="653" customWidth="1"/>
    <col min="11782" max="11782" width="10.140625" style="653" customWidth="1"/>
    <col min="11783" max="11783" width="11.7109375" style="653" customWidth="1"/>
    <col min="11784" max="12033" width="9.140625" style="653"/>
    <col min="12034" max="12034" width="4.7109375" style="653" customWidth="1"/>
    <col min="12035" max="12035" width="41.42578125" style="653" customWidth="1"/>
    <col min="12036" max="12036" width="7.5703125" style="653" customWidth="1"/>
    <col min="12037" max="12037" width="7" style="653" customWidth="1"/>
    <col min="12038" max="12038" width="10.140625" style="653" customWidth="1"/>
    <col min="12039" max="12039" width="11.7109375" style="653" customWidth="1"/>
    <col min="12040" max="12289" width="9.140625" style="653"/>
    <col min="12290" max="12290" width="4.7109375" style="653" customWidth="1"/>
    <col min="12291" max="12291" width="41.42578125" style="653" customWidth="1"/>
    <col min="12292" max="12292" width="7.5703125" style="653" customWidth="1"/>
    <col min="12293" max="12293" width="7" style="653" customWidth="1"/>
    <col min="12294" max="12294" width="10.140625" style="653" customWidth="1"/>
    <col min="12295" max="12295" width="11.7109375" style="653" customWidth="1"/>
    <col min="12296" max="12545" width="9.140625" style="653"/>
    <col min="12546" max="12546" width="4.7109375" style="653" customWidth="1"/>
    <col min="12547" max="12547" width="41.42578125" style="653" customWidth="1"/>
    <col min="12548" max="12548" width="7.5703125" style="653" customWidth="1"/>
    <col min="12549" max="12549" width="7" style="653" customWidth="1"/>
    <col min="12550" max="12550" width="10.140625" style="653" customWidth="1"/>
    <col min="12551" max="12551" width="11.7109375" style="653" customWidth="1"/>
    <col min="12552" max="12801" width="9.140625" style="653"/>
    <col min="12802" max="12802" width="4.7109375" style="653" customWidth="1"/>
    <col min="12803" max="12803" width="41.42578125" style="653" customWidth="1"/>
    <col min="12804" max="12804" width="7.5703125" style="653" customWidth="1"/>
    <col min="12805" max="12805" width="7" style="653" customWidth="1"/>
    <col min="12806" max="12806" width="10.140625" style="653" customWidth="1"/>
    <col min="12807" max="12807" width="11.7109375" style="653" customWidth="1"/>
    <col min="12808" max="13057" width="9.140625" style="653"/>
    <col min="13058" max="13058" width="4.7109375" style="653" customWidth="1"/>
    <col min="13059" max="13059" width="41.42578125" style="653" customWidth="1"/>
    <col min="13060" max="13060" width="7.5703125" style="653" customWidth="1"/>
    <col min="13061" max="13061" width="7" style="653" customWidth="1"/>
    <col min="13062" max="13062" width="10.140625" style="653" customWidth="1"/>
    <col min="13063" max="13063" width="11.7109375" style="653" customWidth="1"/>
    <col min="13064" max="13313" width="9.140625" style="653"/>
    <col min="13314" max="13314" width="4.7109375" style="653" customWidth="1"/>
    <col min="13315" max="13315" width="41.42578125" style="653" customWidth="1"/>
    <col min="13316" max="13316" width="7.5703125" style="653" customWidth="1"/>
    <col min="13317" max="13317" width="7" style="653" customWidth="1"/>
    <col min="13318" max="13318" width="10.140625" style="653" customWidth="1"/>
    <col min="13319" max="13319" width="11.7109375" style="653" customWidth="1"/>
    <col min="13320" max="13569" width="9.140625" style="653"/>
    <col min="13570" max="13570" width="4.7109375" style="653" customWidth="1"/>
    <col min="13571" max="13571" width="41.42578125" style="653" customWidth="1"/>
    <col min="13572" max="13572" width="7.5703125" style="653" customWidth="1"/>
    <col min="13573" max="13573" width="7" style="653" customWidth="1"/>
    <col min="13574" max="13574" width="10.140625" style="653" customWidth="1"/>
    <col min="13575" max="13575" width="11.7109375" style="653" customWidth="1"/>
    <col min="13576" max="13825" width="9.140625" style="653"/>
    <col min="13826" max="13826" width="4.7109375" style="653" customWidth="1"/>
    <col min="13827" max="13827" width="41.42578125" style="653" customWidth="1"/>
    <col min="13828" max="13828" width="7.5703125" style="653" customWidth="1"/>
    <col min="13829" max="13829" width="7" style="653" customWidth="1"/>
    <col min="13830" max="13830" width="10.140625" style="653" customWidth="1"/>
    <col min="13831" max="13831" width="11.7109375" style="653" customWidth="1"/>
    <col min="13832" max="14081" width="9.140625" style="653"/>
    <col min="14082" max="14082" width="4.7109375" style="653" customWidth="1"/>
    <col min="14083" max="14083" width="41.42578125" style="653" customWidth="1"/>
    <col min="14084" max="14084" width="7.5703125" style="653" customWidth="1"/>
    <col min="14085" max="14085" width="7" style="653" customWidth="1"/>
    <col min="14086" max="14086" width="10.140625" style="653" customWidth="1"/>
    <col min="14087" max="14087" width="11.7109375" style="653" customWidth="1"/>
    <col min="14088" max="14337" width="9.140625" style="653"/>
    <col min="14338" max="14338" width="4.7109375" style="653" customWidth="1"/>
    <col min="14339" max="14339" width="41.42578125" style="653" customWidth="1"/>
    <col min="14340" max="14340" width="7.5703125" style="653" customWidth="1"/>
    <col min="14341" max="14341" width="7" style="653" customWidth="1"/>
    <col min="14342" max="14342" width="10.140625" style="653" customWidth="1"/>
    <col min="14343" max="14343" width="11.7109375" style="653" customWidth="1"/>
    <col min="14344" max="14593" width="9.140625" style="653"/>
    <col min="14594" max="14594" width="4.7109375" style="653" customWidth="1"/>
    <col min="14595" max="14595" width="41.42578125" style="653" customWidth="1"/>
    <col min="14596" max="14596" width="7.5703125" style="653" customWidth="1"/>
    <col min="14597" max="14597" width="7" style="653" customWidth="1"/>
    <col min="14598" max="14598" width="10.140625" style="653" customWidth="1"/>
    <col min="14599" max="14599" width="11.7109375" style="653" customWidth="1"/>
    <col min="14600" max="14849" width="9.140625" style="653"/>
    <col min="14850" max="14850" width="4.7109375" style="653" customWidth="1"/>
    <col min="14851" max="14851" width="41.42578125" style="653" customWidth="1"/>
    <col min="14852" max="14852" width="7.5703125" style="653" customWidth="1"/>
    <col min="14853" max="14853" width="7" style="653" customWidth="1"/>
    <col min="14854" max="14854" width="10.140625" style="653" customWidth="1"/>
    <col min="14855" max="14855" width="11.7109375" style="653" customWidth="1"/>
    <col min="14856" max="15105" width="9.140625" style="653"/>
    <col min="15106" max="15106" width="4.7109375" style="653" customWidth="1"/>
    <col min="15107" max="15107" width="41.42578125" style="653" customWidth="1"/>
    <col min="15108" max="15108" width="7.5703125" style="653" customWidth="1"/>
    <col min="15109" max="15109" width="7" style="653" customWidth="1"/>
    <col min="15110" max="15110" width="10.140625" style="653" customWidth="1"/>
    <col min="15111" max="15111" width="11.7109375" style="653" customWidth="1"/>
    <col min="15112" max="15361" width="9.140625" style="653"/>
    <col min="15362" max="15362" width="4.7109375" style="653" customWidth="1"/>
    <col min="15363" max="15363" width="41.42578125" style="653" customWidth="1"/>
    <col min="15364" max="15364" width="7.5703125" style="653" customWidth="1"/>
    <col min="15365" max="15365" width="7" style="653" customWidth="1"/>
    <col min="15366" max="15366" width="10.140625" style="653" customWidth="1"/>
    <col min="15367" max="15367" width="11.7109375" style="653" customWidth="1"/>
    <col min="15368" max="15617" width="9.140625" style="653"/>
    <col min="15618" max="15618" width="4.7109375" style="653" customWidth="1"/>
    <col min="15619" max="15619" width="41.42578125" style="653" customWidth="1"/>
    <col min="15620" max="15620" width="7.5703125" style="653" customWidth="1"/>
    <col min="15621" max="15621" width="7" style="653" customWidth="1"/>
    <col min="15622" max="15622" width="10.140625" style="653" customWidth="1"/>
    <col min="15623" max="15623" width="11.7109375" style="653" customWidth="1"/>
    <col min="15624" max="15873" width="9.140625" style="653"/>
    <col min="15874" max="15874" width="4.7109375" style="653" customWidth="1"/>
    <col min="15875" max="15875" width="41.42578125" style="653" customWidth="1"/>
    <col min="15876" max="15876" width="7.5703125" style="653" customWidth="1"/>
    <col min="15877" max="15877" width="7" style="653" customWidth="1"/>
    <col min="15878" max="15878" width="10.140625" style="653" customWidth="1"/>
    <col min="15879" max="15879" width="11.7109375" style="653" customWidth="1"/>
    <col min="15880" max="16129" width="9.140625" style="653"/>
    <col min="16130" max="16130" width="4.7109375" style="653" customWidth="1"/>
    <col min="16131" max="16131" width="41.42578125" style="653" customWidth="1"/>
    <col min="16132" max="16132" width="7.5703125" style="653" customWidth="1"/>
    <col min="16133" max="16133" width="7" style="653" customWidth="1"/>
    <col min="16134" max="16134" width="10.140625" style="653" customWidth="1"/>
    <col min="16135" max="16135" width="11.7109375" style="653" customWidth="1"/>
    <col min="16136" max="16384" width="9.140625" style="653"/>
  </cols>
  <sheetData>
    <row r="1" spans="1:11" s="646" customFormat="1" ht="15">
      <c r="A1" s="642" t="s">
        <v>1721</v>
      </c>
      <c r="B1" s="643" t="s">
        <v>1722</v>
      </c>
      <c r="C1" s="643"/>
      <c r="D1" s="1043"/>
      <c r="E1" s="1044"/>
      <c r="F1" s="329"/>
      <c r="G1" s="329"/>
    </row>
    <row r="2" spans="1:11" s="646" customFormat="1" ht="15">
      <c r="A2" s="647" t="s">
        <v>1355</v>
      </c>
      <c r="B2" s="648" t="s">
        <v>1356</v>
      </c>
      <c r="C2" s="648"/>
      <c r="D2" s="1045"/>
      <c r="E2" s="1045"/>
      <c r="F2" s="329"/>
      <c r="G2" s="329"/>
    </row>
    <row r="3" spans="1:11" ht="6" customHeight="1" thickBot="1">
      <c r="A3" s="650"/>
      <c r="B3" s="651"/>
      <c r="C3" s="651"/>
      <c r="D3" s="833"/>
      <c r="E3" s="833"/>
    </row>
    <row r="4" spans="1:11" ht="25.5" customHeight="1" thickBot="1">
      <c r="A4" s="717" t="s">
        <v>13</v>
      </c>
      <c r="B4" s="718" t="s">
        <v>9</v>
      </c>
      <c r="C4" s="719" t="s">
        <v>1841</v>
      </c>
      <c r="D4" s="1036" t="s">
        <v>15</v>
      </c>
      <c r="E4" s="1036" t="s">
        <v>10</v>
      </c>
      <c r="F4" s="994" t="s">
        <v>16</v>
      </c>
      <c r="G4" s="994" t="s">
        <v>17</v>
      </c>
      <c r="H4" s="719"/>
    </row>
    <row r="5" spans="1:11" ht="99.75">
      <c r="A5" s="654" t="s">
        <v>1357</v>
      </c>
      <c r="B5" s="655" t="s">
        <v>1723</v>
      </c>
      <c r="C5" s="1062"/>
      <c r="D5" s="833"/>
      <c r="E5" s="833"/>
      <c r="F5" s="1076"/>
    </row>
    <row r="6" spans="1:11" ht="16.5">
      <c r="A6" s="654"/>
      <c r="B6" s="656"/>
      <c r="C6" s="1063"/>
      <c r="D6" s="833" t="s">
        <v>1724</v>
      </c>
      <c r="E6" s="833">
        <v>56</v>
      </c>
      <c r="F6" s="1076"/>
      <c r="G6" s="329">
        <f>SUM(E6*F6)</f>
        <v>0</v>
      </c>
    </row>
    <row r="7" spans="1:11">
      <c r="A7" s="654"/>
      <c r="B7" s="656"/>
      <c r="C7" s="1063"/>
      <c r="D7" s="833"/>
      <c r="E7" s="833"/>
      <c r="F7" s="1076"/>
      <c r="J7" s="657"/>
      <c r="K7" s="657"/>
    </row>
    <row r="8" spans="1:11" ht="57">
      <c r="A8" s="654" t="s">
        <v>1359</v>
      </c>
      <c r="B8" s="655" t="s">
        <v>1725</v>
      </c>
      <c r="C8" s="1062"/>
      <c r="D8" s="654"/>
      <c r="E8" s="833"/>
      <c r="F8" s="1076"/>
    </row>
    <row r="9" spans="1:11" ht="16.5">
      <c r="A9" s="654"/>
      <c r="B9" s="656"/>
      <c r="C9" s="1063"/>
      <c r="D9" s="833" t="s">
        <v>1724</v>
      </c>
      <c r="E9" s="833">
        <v>14</v>
      </c>
      <c r="F9" s="1076"/>
      <c r="G9" s="329">
        <f>SUM(E9*F9)</f>
        <v>0</v>
      </c>
    </row>
    <row r="10" spans="1:11">
      <c r="A10" s="654"/>
      <c r="B10" s="656"/>
      <c r="C10" s="1063"/>
      <c r="D10" s="833"/>
      <c r="E10" s="833"/>
      <c r="F10" s="1076"/>
    </row>
    <row r="11" spans="1:11" ht="71.25">
      <c r="A11" s="654" t="s">
        <v>1361</v>
      </c>
      <c r="B11" s="655" t="s">
        <v>1726</v>
      </c>
      <c r="C11" s="1062"/>
      <c r="D11" s="654"/>
      <c r="E11" s="833"/>
      <c r="F11" s="1076"/>
    </row>
    <row r="12" spans="1:11" ht="16.5">
      <c r="A12" s="654"/>
      <c r="B12" s="656"/>
      <c r="C12" s="1063"/>
      <c r="D12" s="833" t="s">
        <v>1724</v>
      </c>
      <c r="E12" s="833">
        <v>32</v>
      </c>
      <c r="F12" s="1076"/>
      <c r="G12" s="329">
        <f>SUM(E12*F12)</f>
        <v>0</v>
      </c>
    </row>
    <row r="13" spans="1:11">
      <c r="A13" s="654"/>
      <c r="B13" s="656"/>
      <c r="C13" s="1063"/>
      <c r="D13" s="833"/>
      <c r="E13" s="833"/>
      <c r="F13" s="1076"/>
    </row>
    <row r="14" spans="1:11" ht="57">
      <c r="A14" s="654" t="s">
        <v>1363</v>
      </c>
      <c r="B14" s="655" t="s">
        <v>1727</v>
      </c>
      <c r="C14" s="1062"/>
      <c r="D14" s="833"/>
      <c r="E14" s="833"/>
      <c r="F14" s="1076"/>
    </row>
    <row r="15" spans="1:11" ht="16.5">
      <c r="A15" s="654"/>
      <c r="B15" s="656"/>
      <c r="C15" s="1063"/>
      <c r="D15" s="833" t="s">
        <v>1724</v>
      </c>
      <c r="E15" s="833">
        <v>24</v>
      </c>
      <c r="F15" s="1076"/>
      <c r="G15" s="329">
        <f>SUM(E15*F15)</f>
        <v>0</v>
      </c>
    </row>
    <row r="16" spans="1:11">
      <c r="A16" s="654"/>
      <c r="B16" s="656"/>
      <c r="C16" s="1063"/>
      <c r="D16" s="833"/>
      <c r="E16" s="833"/>
      <c r="F16" s="1076"/>
    </row>
    <row r="17" spans="1:8" ht="114">
      <c r="A17" s="654" t="s">
        <v>1366</v>
      </c>
      <c r="B17" s="658" t="s">
        <v>1728</v>
      </c>
      <c r="C17" s="1064"/>
      <c r="D17" s="654"/>
      <c r="E17" s="833"/>
      <c r="F17" s="1076"/>
    </row>
    <row r="18" spans="1:8" ht="15">
      <c r="A18" s="654"/>
      <c r="B18" s="659" t="s">
        <v>1729</v>
      </c>
      <c r="C18" s="1065"/>
      <c r="D18" s="1046" t="s">
        <v>11</v>
      </c>
      <c r="E18" s="1046">
        <v>3</v>
      </c>
      <c r="F18" s="1076"/>
      <c r="G18" s="329">
        <f>SUM(E18*F18)</f>
        <v>0</v>
      </c>
    </row>
    <row r="19" spans="1:8" ht="15">
      <c r="A19" s="654"/>
      <c r="B19" s="661"/>
      <c r="C19" s="1066"/>
      <c r="D19" s="1046"/>
      <c r="E19" s="1046"/>
      <c r="F19" s="1076"/>
    </row>
    <row r="20" spans="1:8" ht="57">
      <c r="A20" s="662" t="s">
        <v>1386</v>
      </c>
      <c r="B20" s="655" t="s">
        <v>1730</v>
      </c>
      <c r="C20" s="1062"/>
      <c r="D20" s="1046"/>
      <c r="E20" s="1046"/>
      <c r="F20" s="1076"/>
    </row>
    <row r="21" spans="1:8">
      <c r="B21" s="655"/>
      <c r="C21" s="1062"/>
      <c r="D21" s="1046" t="s">
        <v>56</v>
      </c>
      <c r="E21" s="833">
        <v>116</v>
      </c>
      <c r="F21" s="1076"/>
      <c r="G21" s="329">
        <f>SUM(E21*F21)</f>
        <v>0</v>
      </c>
    </row>
    <row r="22" spans="1:8">
      <c r="B22" s="655"/>
      <c r="C22" s="1062"/>
      <c r="D22" s="1046"/>
      <c r="E22" s="1046"/>
      <c r="F22" s="1076"/>
    </row>
    <row r="23" spans="1:8">
      <c r="B23"/>
      <c r="C23" s="1067"/>
      <c r="D23" s="1046"/>
      <c r="F23" s="1077"/>
      <c r="G23" s="1056"/>
    </row>
    <row r="24" spans="1:8" ht="15">
      <c r="A24" s="663" t="s">
        <v>1355</v>
      </c>
      <c r="B24" s="664" t="s">
        <v>1731</v>
      </c>
      <c r="C24" s="1068"/>
      <c r="D24" s="1051"/>
      <c r="E24" s="1048"/>
      <c r="F24" s="1077"/>
      <c r="G24" s="1057">
        <f>SUM(G5:G23)</f>
        <v>0</v>
      </c>
      <c r="H24" s="666"/>
    </row>
    <row r="25" spans="1:8" ht="15">
      <c r="A25" s="667"/>
      <c r="B25" s="668"/>
      <c r="C25" s="1069"/>
      <c r="D25" s="1052"/>
      <c r="E25" s="1049"/>
      <c r="F25" s="1076"/>
      <c r="H25" s="666"/>
    </row>
    <row r="26" spans="1:8" ht="15">
      <c r="A26" s="667"/>
      <c r="B26" s="668"/>
      <c r="C26" s="1069"/>
      <c r="D26" s="1052"/>
      <c r="E26" s="1049"/>
      <c r="F26" s="1076"/>
      <c r="H26" s="666"/>
    </row>
    <row r="27" spans="1:8" s="646" customFormat="1" ht="15">
      <c r="A27" s="647" t="s">
        <v>1355</v>
      </c>
      <c r="B27" s="648" t="s">
        <v>1369</v>
      </c>
      <c r="C27" s="1070"/>
      <c r="D27" s="1045"/>
      <c r="E27" s="1045"/>
      <c r="F27" s="1076"/>
      <c r="G27" s="329"/>
    </row>
    <row r="28" spans="1:8">
      <c r="C28" s="1071"/>
      <c r="F28" s="1076"/>
    </row>
    <row r="29" spans="1:8" ht="171">
      <c r="A29" s="654" t="s">
        <v>1357</v>
      </c>
      <c r="B29" s="655" t="s">
        <v>1732</v>
      </c>
      <c r="C29" s="1062"/>
      <c r="F29" s="1076"/>
    </row>
    <row r="30" spans="1:8" ht="15">
      <c r="B30" s="661" t="s">
        <v>1733</v>
      </c>
      <c r="C30" s="1066"/>
      <c r="D30" s="1046" t="s">
        <v>56</v>
      </c>
      <c r="E30" s="1046">
        <v>40</v>
      </c>
      <c r="F30" s="1076"/>
      <c r="G30" s="329">
        <f>SUM(E30*F30)</f>
        <v>0</v>
      </c>
    </row>
    <row r="31" spans="1:8" ht="15">
      <c r="B31" s="661"/>
      <c r="C31" s="1066"/>
      <c r="D31" s="1046"/>
      <c r="E31" s="1046"/>
      <c r="F31" s="1076"/>
    </row>
    <row r="32" spans="1:8" ht="128.25">
      <c r="A32" s="662" t="s">
        <v>1359</v>
      </c>
      <c r="B32" s="655" t="s">
        <v>1734</v>
      </c>
      <c r="C32" s="1062"/>
      <c r="D32" s="1046"/>
      <c r="F32" s="1076"/>
    </row>
    <row r="33" spans="1:7" ht="15">
      <c r="B33" s="661" t="s">
        <v>1735</v>
      </c>
      <c r="C33" s="1066"/>
      <c r="D33" s="1046" t="s">
        <v>56</v>
      </c>
      <c r="E33" s="1046">
        <v>15</v>
      </c>
      <c r="F33" s="1076"/>
      <c r="G33" s="329">
        <f t="shared" ref="G33:G34" si="0">SUM(E33*F33)</f>
        <v>0</v>
      </c>
    </row>
    <row r="34" spans="1:7" ht="15">
      <c r="B34" s="661" t="s">
        <v>1736</v>
      </c>
      <c r="C34" s="1066"/>
      <c r="D34" s="1046" t="s">
        <v>56</v>
      </c>
      <c r="E34" s="1046">
        <v>5</v>
      </c>
      <c r="F34" s="1076"/>
      <c r="G34" s="329">
        <f t="shared" si="0"/>
        <v>0</v>
      </c>
    </row>
    <row r="35" spans="1:7">
      <c r="C35" s="1071"/>
      <c r="F35" s="1076"/>
    </row>
    <row r="36" spans="1:7" ht="114">
      <c r="A36" s="662" t="s">
        <v>1361</v>
      </c>
      <c r="B36" s="655" t="s">
        <v>1737</v>
      </c>
      <c r="C36" s="1062"/>
      <c r="F36" s="1076"/>
    </row>
    <row r="37" spans="1:7" ht="15">
      <c r="B37" s="661" t="s">
        <v>1738</v>
      </c>
      <c r="C37" s="1066"/>
      <c r="D37" s="1046" t="s">
        <v>56</v>
      </c>
      <c r="E37" s="1046">
        <v>5</v>
      </c>
      <c r="F37" s="1076"/>
      <c r="G37" s="329">
        <f t="shared" ref="G37:G41" si="1">SUM(E37*F37)</f>
        <v>0</v>
      </c>
    </row>
    <row r="38" spans="1:7" ht="15">
      <c r="B38" s="661" t="s">
        <v>1739</v>
      </c>
      <c r="C38" s="1066"/>
      <c r="D38" s="1046" t="s">
        <v>56</v>
      </c>
      <c r="E38" s="1046">
        <v>5</v>
      </c>
      <c r="F38" s="1076"/>
      <c r="G38" s="329">
        <f t="shared" si="1"/>
        <v>0</v>
      </c>
    </row>
    <row r="39" spans="1:7" ht="15">
      <c r="B39" s="661" t="s">
        <v>1740</v>
      </c>
      <c r="C39" s="1066"/>
      <c r="D39" s="1046" t="s">
        <v>56</v>
      </c>
      <c r="E39" s="1046">
        <v>65</v>
      </c>
      <c r="F39" s="1076"/>
      <c r="G39" s="329">
        <f t="shared" si="1"/>
        <v>0</v>
      </c>
    </row>
    <row r="40" spans="1:7" ht="15">
      <c r="B40" s="661" t="s">
        <v>1741</v>
      </c>
      <c r="C40" s="1066"/>
      <c r="D40" s="1046" t="s">
        <v>56</v>
      </c>
      <c r="E40" s="1046">
        <v>13</v>
      </c>
      <c r="F40" s="1076"/>
      <c r="G40" s="329">
        <f t="shared" si="1"/>
        <v>0</v>
      </c>
    </row>
    <row r="41" spans="1:7" ht="15">
      <c r="B41" s="661" t="s">
        <v>1736</v>
      </c>
      <c r="C41" s="1066"/>
      <c r="D41" s="1046" t="s">
        <v>56</v>
      </c>
      <c r="E41" s="1046">
        <v>28</v>
      </c>
      <c r="F41" s="1076"/>
      <c r="G41" s="329">
        <f t="shared" si="1"/>
        <v>0</v>
      </c>
    </row>
    <row r="42" spans="1:7" ht="71.25">
      <c r="A42" s="662" t="s">
        <v>1363</v>
      </c>
      <c r="B42" s="655" t="s">
        <v>1742</v>
      </c>
      <c r="C42" s="1062"/>
      <c r="F42" s="1076"/>
    </row>
    <row r="43" spans="1:7">
      <c r="C43" s="1071"/>
      <c r="F43" s="1076"/>
    </row>
    <row r="44" spans="1:7" ht="15">
      <c r="B44" s="661" t="s">
        <v>1736</v>
      </c>
      <c r="C44" s="1066"/>
      <c r="D44" s="1046" t="s">
        <v>11</v>
      </c>
      <c r="E44" s="1046">
        <v>4</v>
      </c>
      <c r="F44" s="1076"/>
      <c r="G44" s="329">
        <f>SUM(E44*F44)</f>
        <v>0</v>
      </c>
    </row>
    <row r="45" spans="1:7">
      <c r="B45" s="655"/>
      <c r="C45" s="1062"/>
      <c r="F45" s="1076"/>
    </row>
    <row r="46" spans="1:7" ht="114">
      <c r="A46" s="662" t="s">
        <v>1366</v>
      </c>
      <c r="B46" s="655" t="s">
        <v>1743</v>
      </c>
      <c r="C46" s="1062"/>
      <c r="F46" s="1076"/>
    </row>
    <row r="47" spans="1:7" ht="15">
      <c r="B47" s="670"/>
      <c r="C47" s="1072"/>
      <c r="D47" s="1046" t="s">
        <v>11</v>
      </c>
      <c r="E47" s="1046">
        <v>4</v>
      </c>
      <c r="F47" s="1076"/>
      <c r="G47" s="329">
        <f>SUM(E47*F47)</f>
        <v>0</v>
      </c>
    </row>
    <row r="48" spans="1:7">
      <c r="C48" s="1071"/>
      <c r="F48" s="1076"/>
    </row>
    <row r="49" spans="1:7" ht="57">
      <c r="A49" s="662" t="s">
        <v>1386</v>
      </c>
      <c r="B49" s="655" t="s">
        <v>1744</v>
      </c>
      <c r="C49" s="1062"/>
      <c r="D49" s="1054"/>
      <c r="F49" s="1076"/>
    </row>
    <row r="50" spans="1:7" ht="28.5">
      <c r="B50" s="658" t="s">
        <v>1745</v>
      </c>
      <c r="C50" s="1064"/>
      <c r="D50" s="1046" t="s">
        <v>11</v>
      </c>
      <c r="E50" s="1046">
        <v>3</v>
      </c>
      <c r="F50" s="1076"/>
      <c r="G50" s="329">
        <f>SUM(E50*F50)</f>
        <v>0</v>
      </c>
    </row>
    <row r="51" spans="1:7">
      <c r="B51" s="655"/>
      <c r="C51" s="1062"/>
      <c r="D51" s="1046"/>
      <c r="E51" s="1046"/>
      <c r="F51" s="1076"/>
    </row>
    <row r="52" spans="1:7" ht="28.5">
      <c r="A52" s="662" t="s">
        <v>1388</v>
      </c>
      <c r="B52" s="658" t="s">
        <v>1746</v>
      </c>
      <c r="C52" s="1064"/>
      <c r="D52" s="1046"/>
      <c r="E52" s="1046"/>
      <c r="F52" s="1076"/>
    </row>
    <row r="53" spans="1:7" ht="28.5">
      <c r="B53" s="658" t="s">
        <v>1747</v>
      </c>
      <c r="C53" s="1064"/>
      <c r="D53" s="1046" t="s">
        <v>11</v>
      </c>
      <c r="E53" s="1046">
        <v>13</v>
      </c>
      <c r="F53" s="1076"/>
      <c r="G53" s="329">
        <f>SUM(E53*F53)</f>
        <v>0</v>
      </c>
    </row>
    <row r="54" spans="1:7">
      <c r="B54" s="655"/>
      <c r="C54" s="1062"/>
      <c r="F54" s="1076"/>
    </row>
    <row r="55" spans="1:7" ht="57">
      <c r="A55" s="662" t="s">
        <v>1392</v>
      </c>
      <c r="B55" s="658" t="s">
        <v>1748</v>
      </c>
      <c r="C55" s="1064"/>
      <c r="D55" s="1046"/>
      <c r="E55" s="1046"/>
      <c r="F55" s="1076"/>
    </row>
    <row r="56" spans="1:7" ht="28.5">
      <c r="B56" s="658" t="s">
        <v>1749</v>
      </c>
      <c r="C56" s="1064"/>
      <c r="D56" s="1046"/>
      <c r="E56" s="1046"/>
      <c r="F56" s="1076"/>
    </row>
    <row r="57" spans="1:7">
      <c r="B57" s="655" t="s">
        <v>1750</v>
      </c>
      <c r="C57" s="1062"/>
      <c r="D57" s="1046" t="s">
        <v>11</v>
      </c>
      <c r="E57" s="1046">
        <v>4</v>
      </c>
      <c r="F57" s="1076"/>
      <c r="G57" s="329">
        <f>SUM(E57*F57)</f>
        <v>0</v>
      </c>
    </row>
    <row r="58" spans="1:7">
      <c r="B58" s="655"/>
      <c r="C58" s="1062"/>
      <c r="F58" s="1076"/>
    </row>
    <row r="59" spans="1:7" ht="57">
      <c r="A59" s="662" t="s">
        <v>1396</v>
      </c>
      <c r="B59" s="655" t="s">
        <v>1751</v>
      </c>
      <c r="C59" s="1062"/>
      <c r="F59" s="1076"/>
    </row>
    <row r="60" spans="1:7" ht="15">
      <c r="B60" s="661" t="s">
        <v>1735</v>
      </c>
      <c r="C60" s="1066"/>
      <c r="D60" s="1046" t="s">
        <v>11</v>
      </c>
      <c r="E60" s="1046">
        <v>10</v>
      </c>
      <c r="F60" s="1076"/>
      <c r="G60" s="329">
        <f>SUM(E60*F60)</f>
        <v>0</v>
      </c>
    </row>
    <row r="61" spans="1:7">
      <c r="C61" s="1071"/>
      <c r="F61" s="1076"/>
    </row>
    <row r="62" spans="1:7" ht="90">
      <c r="A62" s="662" t="s">
        <v>1521</v>
      </c>
      <c r="B62" s="671" t="s">
        <v>1752</v>
      </c>
      <c r="C62" s="1073"/>
      <c r="F62" s="1076"/>
    </row>
    <row r="63" spans="1:7" ht="180">
      <c r="B63" s="671" t="s">
        <v>1753</v>
      </c>
      <c r="C63" s="1073"/>
      <c r="F63" s="1076"/>
    </row>
    <row r="64" spans="1:7" ht="195">
      <c r="B64" s="671" t="s">
        <v>1754</v>
      </c>
      <c r="C64" s="1073"/>
      <c r="F64" s="1076"/>
    </row>
    <row r="65" spans="1:8" ht="30">
      <c r="B65" s="672" t="s">
        <v>1755</v>
      </c>
      <c r="C65" s="1074"/>
      <c r="D65" s="1046" t="s">
        <v>11</v>
      </c>
      <c r="E65" s="1046">
        <v>1</v>
      </c>
      <c r="F65" s="1076"/>
    </row>
    <row r="66" spans="1:8">
      <c r="C66" s="1071"/>
      <c r="F66" s="1076"/>
    </row>
    <row r="67" spans="1:8" ht="43.5" customHeight="1">
      <c r="A67" s="662" t="s">
        <v>1523</v>
      </c>
      <c r="B67" s="655" t="s">
        <v>1756</v>
      </c>
      <c r="C67" s="1062"/>
      <c r="F67" s="1076"/>
    </row>
    <row r="68" spans="1:8">
      <c r="C68" s="1071"/>
      <c r="D68" s="1046" t="s">
        <v>56</v>
      </c>
      <c r="E68" s="833">
        <v>432</v>
      </c>
      <c r="F68" s="1076"/>
      <c r="G68" s="329">
        <f>SUM(E68*F68)</f>
        <v>0</v>
      </c>
    </row>
    <row r="69" spans="1:8">
      <c r="C69" s="1071"/>
      <c r="F69" s="1076"/>
    </row>
    <row r="70" spans="1:8" ht="15">
      <c r="A70" s="663" t="s">
        <v>1757</v>
      </c>
      <c r="B70" s="664" t="s">
        <v>1369</v>
      </c>
      <c r="C70" s="1068"/>
      <c r="D70" s="1051"/>
      <c r="E70" s="1048"/>
      <c r="F70" s="1078"/>
      <c r="G70" s="1058">
        <f>SUM(G29:G69)</f>
        <v>0</v>
      </c>
      <c r="H70" s="666"/>
    </row>
    <row r="71" spans="1:8" ht="15">
      <c r="A71" s="667"/>
      <c r="B71" s="668"/>
      <c r="C71" s="1069"/>
      <c r="D71" s="1052"/>
      <c r="E71" s="1049"/>
      <c r="F71" s="1079"/>
      <c r="G71" s="1059"/>
      <c r="H71" s="666"/>
    </row>
    <row r="72" spans="1:8" ht="15.75" thickBot="1">
      <c r="C72" s="1071"/>
      <c r="F72" s="1080"/>
      <c r="G72" s="1060"/>
    </row>
    <row r="73" spans="1:8" ht="16.5" thickTop="1" thickBot="1">
      <c r="A73" s="673"/>
      <c r="B73" s="674" t="s">
        <v>1403</v>
      </c>
      <c r="C73" s="1075"/>
      <c r="D73" s="1055"/>
      <c r="E73" s="1050"/>
      <c r="F73" s="1081"/>
      <c r="G73" s="1061">
        <f>SUM(+G24)</f>
        <v>0</v>
      </c>
    </row>
    <row r="74" spans="1:8" ht="15" thickTop="1">
      <c r="C74" s="1071"/>
    </row>
  </sheetData>
  <sheetProtection password="CB29" sheet="1" formatCells="0" formatColumns="0" formatRows="0" insertColumns="0" insertRows="0" insertHyperlinks="0" deleteColumns="0" deleteRows="0" sort="0" autoFilter="0" pivotTables="0"/>
  <conditionalFormatting sqref="G1:G1048576">
    <cfRule type="cellIs" dxfId="8" priority="1" operator="equal">
      <formula>0</formula>
    </cfRule>
  </conditionalFormatting>
  <pageMargins left="0.7" right="0.7" top="0.75" bottom="0.75" header="0.3" footer="0.3"/>
  <pageSetup paperSize="9" scale="90" orientation="portrait" horizontalDpi="1200" verticalDpi="1200" r:id="rId1"/>
  <rowBreaks count="1" manualBreakCount="1">
    <brk id="4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0"/>
  <sheetViews>
    <sheetView view="pageBreakPreview" topLeftCell="A49" zoomScale="130" zoomScaleNormal="100" zoomScaleSheetLayoutView="130" workbookViewId="0">
      <selection activeCell="C7" sqref="C7"/>
    </sheetView>
  </sheetViews>
  <sheetFormatPr defaultRowHeight="12.75"/>
  <cols>
    <col min="1" max="1" width="5.28515625" style="675" customWidth="1"/>
    <col min="2" max="2" width="36.7109375" style="700" customWidth="1"/>
    <col min="3" max="3" width="13.85546875" style="700" customWidth="1"/>
    <col min="4" max="4" width="6.28515625" style="1087" customWidth="1"/>
    <col min="5" max="5" width="8.28515625" style="699" customWidth="1"/>
    <col min="6" max="6" width="7.28515625" style="329" customWidth="1"/>
    <col min="7" max="7" width="11.140625" style="329" customWidth="1"/>
    <col min="8" max="8" width="10.85546875" style="687" customWidth="1"/>
    <col min="9" max="9" width="9.140625" style="687"/>
    <col min="10" max="10" width="8.7109375" style="687" customWidth="1"/>
    <col min="11" max="11" width="0" style="687" hidden="1" customWidth="1"/>
    <col min="12" max="257" width="9.140625" style="687"/>
    <col min="258" max="258" width="5.28515625" style="687" customWidth="1"/>
    <col min="259" max="259" width="36.7109375" style="687" customWidth="1"/>
    <col min="260" max="262" width="9.140625" style="687"/>
    <col min="263" max="263" width="11.140625" style="687" customWidth="1"/>
    <col min="264" max="264" width="10.85546875" style="687" customWidth="1"/>
    <col min="265" max="265" width="9.140625" style="687"/>
    <col min="266" max="266" width="8.7109375" style="687" customWidth="1"/>
    <col min="267" max="267" width="0" style="687" hidden="1" customWidth="1"/>
    <col min="268" max="513" width="9.140625" style="687"/>
    <col min="514" max="514" width="5.28515625" style="687" customWidth="1"/>
    <col min="515" max="515" width="36.7109375" style="687" customWidth="1"/>
    <col min="516" max="518" width="9.140625" style="687"/>
    <col min="519" max="519" width="11.140625" style="687" customWidth="1"/>
    <col min="520" max="520" width="10.85546875" style="687" customWidth="1"/>
    <col min="521" max="521" width="9.140625" style="687"/>
    <col min="522" max="522" width="8.7109375" style="687" customWidth="1"/>
    <col min="523" max="523" width="0" style="687" hidden="1" customWidth="1"/>
    <col min="524" max="769" width="9.140625" style="687"/>
    <col min="770" max="770" width="5.28515625" style="687" customWidth="1"/>
    <col min="771" max="771" width="36.7109375" style="687" customWidth="1"/>
    <col min="772" max="774" width="9.140625" style="687"/>
    <col min="775" max="775" width="11.140625" style="687" customWidth="1"/>
    <col min="776" max="776" width="10.85546875" style="687" customWidth="1"/>
    <col min="777" max="777" width="9.140625" style="687"/>
    <col min="778" max="778" width="8.7109375" style="687" customWidth="1"/>
    <col min="779" max="779" width="0" style="687" hidden="1" customWidth="1"/>
    <col min="780" max="1025" width="9.140625" style="687"/>
    <col min="1026" max="1026" width="5.28515625" style="687" customWidth="1"/>
    <col min="1027" max="1027" width="36.7109375" style="687" customWidth="1"/>
    <col min="1028" max="1030" width="9.140625" style="687"/>
    <col min="1031" max="1031" width="11.140625" style="687" customWidth="1"/>
    <col min="1032" max="1032" width="10.85546875" style="687" customWidth="1"/>
    <col min="1033" max="1033" width="9.140625" style="687"/>
    <col min="1034" max="1034" width="8.7109375" style="687" customWidth="1"/>
    <col min="1035" max="1035" width="0" style="687" hidden="1" customWidth="1"/>
    <col min="1036" max="1281" width="9.140625" style="687"/>
    <col min="1282" max="1282" width="5.28515625" style="687" customWidth="1"/>
    <col min="1283" max="1283" width="36.7109375" style="687" customWidth="1"/>
    <col min="1284" max="1286" width="9.140625" style="687"/>
    <col min="1287" max="1287" width="11.140625" style="687" customWidth="1"/>
    <col min="1288" max="1288" width="10.85546875" style="687" customWidth="1"/>
    <col min="1289" max="1289" width="9.140625" style="687"/>
    <col min="1290" max="1290" width="8.7109375" style="687" customWidth="1"/>
    <col min="1291" max="1291" width="0" style="687" hidden="1" customWidth="1"/>
    <col min="1292" max="1537" width="9.140625" style="687"/>
    <col min="1538" max="1538" width="5.28515625" style="687" customWidth="1"/>
    <col min="1539" max="1539" width="36.7109375" style="687" customWidth="1"/>
    <col min="1540" max="1542" width="9.140625" style="687"/>
    <col min="1543" max="1543" width="11.140625" style="687" customWidth="1"/>
    <col min="1544" max="1544" width="10.85546875" style="687" customWidth="1"/>
    <col min="1545" max="1545" width="9.140625" style="687"/>
    <col min="1546" max="1546" width="8.7109375" style="687" customWidth="1"/>
    <col min="1547" max="1547" width="0" style="687" hidden="1" customWidth="1"/>
    <col min="1548" max="1793" width="9.140625" style="687"/>
    <col min="1794" max="1794" width="5.28515625" style="687" customWidth="1"/>
    <col min="1795" max="1795" width="36.7109375" style="687" customWidth="1"/>
    <col min="1796" max="1798" width="9.140625" style="687"/>
    <col min="1799" max="1799" width="11.140625" style="687" customWidth="1"/>
    <col min="1800" max="1800" width="10.85546875" style="687" customWidth="1"/>
    <col min="1801" max="1801" width="9.140625" style="687"/>
    <col min="1802" max="1802" width="8.7109375" style="687" customWidth="1"/>
    <col min="1803" max="1803" width="0" style="687" hidden="1" customWidth="1"/>
    <col min="1804" max="2049" width="9.140625" style="687"/>
    <col min="2050" max="2050" width="5.28515625" style="687" customWidth="1"/>
    <col min="2051" max="2051" width="36.7109375" style="687" customWidth="1"/>
    <col min="2052" max="2054" width="9.140625" style="687"/>
    <col min="2055" max="2055" width="11.140625" style="687" customWidth="1"/>
    <col min="2056" max="2056" width="10.85546875" style="687" customWidth="1"/>
    <col min="2057" max="2057" width="9.140625" style="687"/>
    <col min="2058" max="2058" width="8.7109375" style="687" customWidth="1"/>
    <col min="2059" max="2059" width="0" style="687" hidden="1" customWidth="1"/>
    <col min="2060" max="2305" width="9.140625" style="687"/>
    <col min="2306" max="2306" width="5.28515625" style="687" customWidth="1"/>
    <col min="2307" max="2307" width="36.7109375" style="687" customWidth="1"/>
    <col min="2308" max="2310" width="9.140625" style="687"/>
    <col min="2311" max="2311" width="11.140625" style="687" customWidth="1"/>
    <col min="2312" max="2312" width="10.85546875" style="687" customWidth="1"/>
    <col min="2313" max="2313" width="9.140625" style="687"/>
    <col min="2314" max="2314" width="8.7109375" style="687" customWidth="1"/>
    <col min="2315" max="2315" width="0" style="687" hidden="1" customWidth="1"/>
    <col min="2316" max="2561" width="9.140625" style="687"/>
    <col min="2562" max="2562" width="5.28515625" style="687" customWidth="1"/>
    <col min="2563" max="2563" width="36.7109375" style="687" customWidth="1"/>
    <col min="2564" max="2566" width="9.140625" style="687"/>
    <col min="2567" max="2567" width="11.140625" style="687" customWidth="1"/>
    <col min="2568" max="2568" width="10.85546875" style="687" customWidth="1"/>
    <col min="2569" max="2569" width="9.140625" style="687"/>
    <col min="2570" max="2570" width="8.7109375" style="687" customWidth="1"/>
    <col min="2571" max="2571" width="0" style="687" hidden="1" customWidth="1"/>
    <col min="2572" max="2817" width="9.140625" style="687"/>
    <col min="2818" max="2818" width="5.28515625" style="687" customWidth="1"/>
    <col min="2819" max="2819" width="36.7109375" style="687" customWidth="1"/>
    <col min="2820" max="2822" width="9.140625" style="687"/>
    <col min="2823" max="2823" width="11.140625" style="687" customWidth="1"/>
    <col min="2824" max="2824" width="10.85546875" style="687" customWidth="1"/>
    <col min="2825" max="2825" width="9.140625" style="687"/>
    <col min="2826" max="2826" width="8.7109375" style="687" customWidth="1"/>
    <col min="2827" max="2827" width="0" style="687" hidden="1" customWidth="1"/>
    <col min="2828" max="3073" width="9.140625" style="687"/>
    <col min="3074" max="3074" width="5.28515625" style="687" customWidth="1"/>
    <col min="3075" max="3075" width="36.7109375" style="687" customWidth="1"/>
    <col min="3076" max="3078" width="9.140625" style="687"/>
    <col min="3079" max="3079" width="11.140625" style="687" customWidth="1"/>
    <col min="3080" max="3080" width="10.85546875" style="687" customWidth="1"/>
    <col min="3081" max="3081" width="9.140625" style="687"/>
    <col min="3082" max="3082" width="8.7109375" style="687" customWidth="1"/>
    <col min="3083" max="3083" width="0" style="687" hidden="1" customWidth="1"/>
    <col min="3084" max="3329" width="9.140625" style="687"/>
    <col min="3330" max="3330" width="5.28515625" style="687" customWidth="1"/>
    <col min="3331" max="3331" width="36.7109375" style="687" customWidth="1"/>
    <col min="3332" max="3334" width="9.140625" style="687"/>
    <col min="3335" max="3335" width="11.140625" style="687" customWidth="1"/>
    <col min="3336" max="3336" width="10.85546875" style="687" customWidth="1"/>
    <col min="3337" max="3337" width="9.140625" style="687"/>
    <col min="3338" max="3338" width="8.7109375" style="687" customWidth="1"/>
    <col min="3339" max="3339" width="0" style="687" hidden="1" customWidth="1"/>
    <col min="3340" max="3585" width="9.140625" style="687"/>
    <col min="3586" max="3586" width="5.28515625" style="687" customWidth="1"/>
    <col min="3587" max="3587" width="36.7109375" style="687" customWidth="1"/>
    <col min="3588" max="3590" width="9.140625" style="687"/>
    <col min="3591" max="3591" width="11.140625" style="687" customWidth="1"/>
    <col min="3592" max="3592" width="10.85546875" style="687" customWidth="1"/>
    <col min="3593" max="3593" width="9.140625" style="687"/>
    <col min="3594" max="3594" width="8.7109375" style="687" customWidth="1"/>
    <col min="3595" max="3595" width="0" style="687" hidden="1" customWidth="1"/>
    <col min="3596" max="3841" width="9.140625" style="687"/>
    <col min="3842" max="3842" width="5.28515625" style="687" customWidth="1"/>
    <col min="3843" max="3843" width="36.7109375" style="687" customWidth="1"/>
    <col min="3844" max="3846" width="9.140625" style="687"/>
    <col min="3847" max="3847" width="11.140625" style="687" customWidth="1"/>
    <col min="3848" max="3848" width="10.85546875" style="687" customWidth="1"/>
    <col min="3849" max="3849" width="9.140625" style="687"/>
    <col min="3850" max="3850" width="8.7109375" style="687" customWidth="1"/>
    <col min="3851" max="3851" width="0" style="687" hidden="1" customWidth="1"/>
    <col min="3852" max="4097" width="9.140625" style="687"/>
    <col min="4098" max="4098" width="5.28515625" style="687" customWidth="1"/>
    <col min="4099" max="4099" width="36.7109375" style="687" customWidth="1"/>
    <col min="4100" max="4102" width="9.140625" style="687"/>
    <col min="4103" max="4103" width="11.140625" style="687" customWidth="1"/>
    <col min="4104" max="4104" width="10.85546875" style="687" customWidth="1"/>
    <col min="4105" max="4105" width="9.140625" style="687"/>
    <col min="4106" max="4106" width="8.7109375" style="687" customWidth="1"/>
    <col min="4107" max="4107" width="0" style="687" hidden="1" customWidth="1"/>
    <col min="4108" max="4353" width="9.140625" style="687"/>
    <col min="4354" max="4354" width="5.28515625" style="687" customWidth="1"/>
    <col min="4355" max="4355" width="36.7109375" style="687" customWidth="1"/>
    <col min="4356" max="4358" width="9.140625" style="687"/>
    <col min="4359" max="4359" width="11.140625" style="687" customWidth="1"/>
    <col min="4360" max="4360" width="10.85546875" style="687" customWidth="1"/>
    <col min="4361" max="4361" width="9.140625" style="687"/>
    <col min="4362" max="4362" width="8.7109375" style="687" customWidth="1"/>
    <col min="4363" max="4363" width="0" style="687" hidden="1" customWidth="1"/>
    <col min="4364" max="4609" width="9.140625" style="687"/>
    <col min="4610" max="4610" width="5.28515625" style="687" customWidth="1"/>
    <col min="4611" max="4611" width="36.7109375" style="687" customWidth="1"/>
    <col min="4612" max="4614" width="9.140625" style="687"/>
    <col min="4615" max="4615" width="11.140625" style="687" customWidth="1"/>
    <col min="4616" max="4616" width="10.85546875" style="687" customWidth="1"/>
    <col min="4617" max="4617" width="9.140625" style="687"/>
    <col min="4618" max="4618" width="8.7109375" style="687" customWidth="1"/>
    <col min="4619" max="4619" width="0" style="687" hidden="1" customWidth="1"/>
    <col min="4620" max="4865" width="9.140625" style="687"/>
    <col min="4866" max="4866" width="5.28515625" style="687" customWidth="1"/>
    <col min="4867" max="4867" width="36.7109375" style="687" customWidth="1"/>
    <col min="4868" max="4870" width="9.140625" style="687"/>
    <col min="4871" max="4871" width="11.140625" style="687" customWidth="1"/>
    <col min="4872" max="4872" width="10.85546875" style="687" customWidth="1"/>
    <col min="4873" max="4873" width="9.140625" style="687"/>
    <col min="4874" max="4874" width="8.7109375" style="687" customWidth="1"/>
    <col min="4875" max="4875" width="0" style="687" hidden="1" customWidth="1"/>
    <col min="4876" max="5121" width="9.140625" style="687"/>
    <col min="5122" max="5122" width="5.28515625" style="687" customWidth="1"/>
    <col min="5123" max="5123" width="36.7109375" style="687" customWidth="1"/>
    <col min="5124" max="5126" width="9.140625" style="687"/>
    <col min="5127" max="5127" width="11.140625" style="687" customWidth="1"/>
    <col min="5128" max="5128" width="10.85546875" style="687" customWidth="1"/>
    <col min="5129" max="5129" width="9.140625" style="687"/>
    <col min="5130" max="5130" width="8.7109375" style="687" customWidth="1"/>
    <col min="5131" max="5131" width="0" style="687" hidden="1" customWidth="1"/>
    <col min="5132" max="5377" width="9.140625" style="687"/>
    <col min="5378" max="5378" width="5.28515625" style="687" customWidth="1"/>
    <col min="5379" max="5379" width="36.7109375" style="687" customWidth="1"/>
    <col min="5380" max="5382" width="9.140625" style="687"/>
    <col min="5383" max="5383" width="11.140625" style="687" customWidth="1"/>
    <col min="5384" max="5384" width="10.85546875" style="687" customWidth="1"/>
    <col min="5385" max="5385" width="9.140625" style="687"/>
    <col min="5386" max="5386" width="8.7109375" style="687" customWidth="1"/>
    <col min="5387" max="5387" width="0" style="687" hidden="1" customWidth="1"/>
    <col min="5388" max="5633" width="9.140625" style="687"/>
    <col min="5634" max="5634" width="5.28515625" style="687" customWidth="1"/>
    <col min="5635" max="5635" width="36.7109375" style="687" customWidth="1"/>
    <col min="5636" max="5638" width="9.140625" style="687"/>
    <col min="5639" max="5639" width="11.140625" style="687" customWidth="1"/>
    <col min="5640" max="5640" width="10.85546875" style="687" customWidth="1"/>
    <col min="5641" max="5641" width="9.140625" style="687"/>
    <col min="5642" max="5642" width="8.7109375" style="687" customWidth="1"/>
    <col min="5643" max="5643" width="0" style="687" hidden="1" customWidth="1"/>
    <col min="5644" max="5889" width="9.140625" style="687"/>
    <col min="5890" max="5890" width="5.28515625" style="687" customWidth="1"/>
    <col min="5891" max="5891" width="36.7109375" style="687" customWidth="1"/>
    <col min="5892" max="5894" width="9.140625" style="687"/>
    <col min="5895" max="5895" width="11.140625" style="687" customWidth="1"/>
    <col min="5896" max="5896" width="10.85546875" style="687" customWidth="1"/>
    <col min="5897" max="5897" width="9.140625" style="687"/>
    <col min="5898" max="5898" width="8.7109375" style="687" customWidth="1"/>
    <col min="5899" max="5899" width="0" style="687" hidden="1" customWidth="1"/>
    <col min="5900" max="6145" width="9.140625" style="687"/>
    <col min="6146" max="6146" width="5.28515625" style="687" customWidth="1"/>
    <col min="6147" max="6147" width="36.7109375" style="687" customWidth="1"/>
    <col min="6148" max="6150" width="9.140625" style="687"/>
    <col min="6151" max="6151" width="11.140625" style="687" customWidth="1"/>
    <col min="6152" max="6152" width="10.85546875" style="687" customWidth="1"/>
    <col min="6153" max="6153" width="9.140625" style="687"/>
    <col min="6154" max="6154" width="8.7109375" style="687" customWidth="1"/>
    <col min="6155" max="6155" width="0" style="687" hidden="1" customWidth="1"/>
    <col min="6156" max="6401" width="9.140625" style="687"/>
    <col min="6402" max="6402" width="5.28515625" style="687" customWidth="1"/>
    <col min="6403" max="6403" width="36.7109375" style="687" customWidth="1"/>
    <col min="6404" max="6406" width="9.140625" style="687"/>
    <col min="6407" max="6407" width="11.140625" style="687" customWidth="1"/>
    <col min="6408" max="6408" width="10.85546875" style="687" customWidth="1"/>
    <col min="6409" max="6409" width="9.140625" style="687"/>
    <col min="6410" max="6410" width="8.7109375" style="687" customWidth="1"/>
    <col min="6411" max="6411" width="0" style="687" hidden="1" customWidth="1"/>
    <col min="6412" max="6657" width="9.140625" style="687"/>
    <col min="6658" max="6658" width="5.28515625" style="687" customWidth="1"/>
    <col min="6659" max="6659" width="36.7109375" style="687" customWidth="1"/>
    <col min="6660" max="6662" width="9.140625" style="687"/>
    <col min="6663" max="6663" width="11.140625" style="687" customWidth="1"/>
    <col min="6664" max="6664" width="10.85546875" style="687" customWidth="1"/>
    <col min="6665" max="6665" width="9.140625" style="687"/>
    <col min="6666" max="6666" width="8.7109375" style="687" customWidth="1"/>
    <col min="6667" max="6667" width="0" style="687" hidden="1" customWidth="1"/>
    <col min="6668" max="6913" width="9.140625" style="687"/>
    <col min="6914" max="6914" width="5.28515625" style="687" customWidth="1"/>
    <col min="6915" max="6915" width="36.7109375" style="687" customWidth="1"/>
    <col min="6916" max="6918" width="9.140625" style="687"/>
    <col min="6919" max="6919" width="11.140625" style="687" customWidth="1"/>
    <col min="6920" max="6920" width="10.85546875" style="687" customWidth="1"/>
    <col min="6921" max="6921" width="9.140625" style="687"/>
    <col min="6922" max="6922" width="8.7109375" style="687" customWidth="1"/>
    <col min="6923" max="6923" width="0" style="687" hidden="1" customWidth="1"/>
    <col min="6924" max="7169" width="9.140625" style="687"/>
    <col min="7170" max="7170" width="5.28515625" style="687" customWidth="1"/>
    <col min="7171" max="7171" width="36.7109375" style="687" customWidth="1"/>
    <col min="7172" max="7174" width="9.140625" style="687"/>
    <col min="7175" max="7175" width="11.140625" style="687" customWidth="1"/>
    <col min="7176" max="7176" width="10.85546875" style="687" customWidth="1"/>
    <col min="7177" max="7177" width="9.140625" style="687"/>
    <col min="7178" max="7178" width="8.7109375" style="687" customWidth="1"/>
    <col min="7179" max="7179" width="0" style="687" hidden="1" customWidth="1"/>
    <col min="7180" max="7425" width="9.140625" style="687"/>
    <col min="7426" max="7426" width="5.28515625" style="687" customWidth="1"/>
    <col min="7427" max="7427" width="36.7109375" style="687" customWidth="1"/>
    <col min="7428" max="7430" width="9.140625" style="687"/>
    <col min="7431" max="7431" width="11.140625" style="687" customWidth="1"/>
    <col min="7432" max="7432" width="10.85546875" style="687" customWidth="1"/>
    <col min="7433" max="7433" width="9.140625" style="687"/>
    <col min="7434" max="7434" width="8.7109375" style="687" customWidth="1"/>
    <col min="7435" max="7435" width="0" style="687" hidden="1" customWidth="1"/>
    <col min="7436" max="7681" width="9.140625" style="687"/>
    <col min="7682" max="7682" width="5.28515625" style="687" customWidth="1"/>
    <col min="7683" max="7683" width="36.7109375" style="687" customWidth="1"/>
    <col min="7684" max="7686" width="9.140625" style="687"/>
    <col min="7687" max="7687" width="11.140625" style="687" customWidth="1"/>
    <col min="7688" max="7688" width="10.85546875" style="687" customWidth="1"/>
    <col min="7689" max="7689" width="9.140625" style="687"/>
    <col min="7690" max="7690" width="8.7109375" style="687" customWidth="1"/>
    <col min="7691" max="7691" width="0" style="687" hidden="1" customWidth="1"/>
    <col min="7692" max="7937" width="9.140625" style="687"/>
    <col min="7938" max="7938" width="5.28515625" style="687" customWidth="1"/>
    <col min="7939" max="7939" width="36.7109375" style="687" customWidth="1"/>
    <col min="7940" max="7942" width="9.140625" style="687"/>
    <col min="7943" max="7943" width="11.140625" style="687" customWidth="1"/>
    <col min="7944" max="7944" width="10.85546875" style="687" customWidth="1"/>
    <col min="7945" max="7945" width="9.140625" style="687"/>
    <col min="7946" max="7946" width="8.7109375" style="687" customWidth="1"/>
    <col min="7947" max="7947" width="0" style="687" hidden="1" customWidth="1"/>
    <col min="7948" max="8193" width="9.140625" style="687"/>
    <col min="8194" max="8194" width="5.28515625" style="687" customWidth="1"/>
    <col min="8195" max="8195" width="36.7109375" style="687" customWidth="1"/>
    <col min="8196" max="8198" width="9.140625" style="687"/>
    <col min="8199" max="8199" width="11.140625" style="687" customWidth="1"/>
    <col min="8200" max="8200" width="10.85546875" style="687" customWidth="1"/>
    <col min="8201" max="8201" width="9.140625" style="687"/>
    <col min="8202" max="8202" width="8.7109375" style="687" customWidth="1"/>
    <col min="8203" max="8203" width="0" style="687" hidden="1" customWidth="1"/>
    <col min="8204" max="8449" width="9.140625" style="687"/>
    <col min="8450" max="8450" width="5.28515625" style="687" customWidth="1"/>
    <col min="8451" max="8451" width="36.7109375" style="687" customWidth="1"/>
    <col min="8452" max="8454" width="9.140625" style="687"/>
    <col min="8455" max="8455" width="11.140625" style="687" customWidth="1"/>
    <col min="8456" max="8456" width="10.85546875" style="687" customWidth="1"/>
    <col min="8457" max="8457" width="9.140625" style="687"/>
    <col min="8458" max="8458" width="8.7109375" style="687" customWidth="1"/>
    <col min="8459" max="8459" width="0" style="687" hidden="1" customWidth="1"/>
    <col min="8460" max="8705" width="9.140625" style="687"/>
    <col min="8706" max="8706" width="5.28515625" style="687" customWidth="1"/>
    <col min="8707" max="8707" width="36.7109375" style="687" customWidth="1"/>
    <col min="8708" max="8710" width="9.140625" style="687"/>
    <col min="8711" max="8711" width="11.140625" style="687" customWidth="1"/>
    <col min="8712" max="8712" width="10.85546875" style="687" customWidth="1"/>
    <col min="8713" max="8713" width="9.140625" style="687"/>
    <col min="8714" max="8714" width="8.7109375" style="687" customWidth="1"/>
    <col min="8715" max="8715" width="0" style="687" hidden="1" customWidth="1"/>
    <col min="8716" max="8961" width="9.140625" style="687"/>
    <col min="8962" max="8962" width="5.28515625" style="687" customWidth="1"/>
    <col min="8963" max="8963" width="36.7109375" style="687" customWidth="1"/>
    <col min="8964" max="8966" width="9.140625" style="687"/>
    <col min="8967" max="8967" width="11.140625" style="687" customWidth="1"/>
    <col min="8968" max="8968" width="10.85546875" style="687" customWidth="1"/>
    <col min="8969" max="8969" width="9.140625" style="687"/>
    <col min="8970" max="8970" width="8.7109375" style="687" customWidth="1"/>
    <col min="8971" max="8971" width="0" style="687" hidden="1" customWidth="1"/>
    <col min="8972" max="9217" width="9.140625" style="687"/>
    <col min="9218" max="9218" width="5.28515625" style="687" customWidth="1"/>
    <col min="9219" max="9219" width="36.7109375" style="687" customWidth="1"/>
    <col min="9220" max="9222" width="9.140625" style="687"/>
    <col min="9223" max="9223" width="11.140625" style="687" customWidth="1"/>
    <col min="9224" max="9224" width="10.85546875" style="687" customWidth="1"/>
    <col min="9225" max="9225" width="9.140625" style="687"/>
    <col min="9226" max="9226" width="8.7109375" style="687" customWidth="1"/>
    <col min="9227" max="9227" width="0" style="687" hidden="1" customWidth="1"/>
    <col min="9228" max="9473" width="9.140625" style="687"/>
    <col min="9474" max="9474" width="5.28515625" style="687" customWidth="1"/>
    <col min="9475" max="9475" width="36.7109375" style="687" customWidth="1"/>
    <col min="9476" max="9478" width="9.140625" style="687"/>
    <col min="9479" max="9479" width="11.140625" style="687" customWidth="1"/>
    <col min="9480" max="9480" width="10.85546875" style="687" customWidth="1"/>
    <col min="9481" max="9481" width="9.140625" style="687"/>
    <col min="9482" max="9482" width="8.7109375" style="687" customWidth="1"/>
    <col min="9483" max="9483" width="0" style="687" hidden="1" customWidth="1"/>
    <col min="9484" max="9729" width="9.140625" style="687"/>
    <col min="9730" max="9730" width="5.28515625" style="687" customWidth="1"/>
    <col min="9731" max="9731" width="36.7109375" style="687" customWidth="1"/>
    <col min="9732" max="9734" width="9.140625" style="687"/>
    <col min="9735" max="9735" width="11.140625" style="687" customWidth="1"/>
    <col min="9736" max="9736" width="10.85546875" style="687" customWidth="1"/>
    <col min="9737" max="9737" width="9.140625" style="687"/>
    <col min="9738" max="9738" width="8.7109375" style="687" customWidth="1"/>
    <col min="9739" max="9739" width="0" style="687" hidden="1" customWidth="1"/>
    <col min="9740" max="9985" width="9.140625" style="687"/>
    <col min="9986" max="9986" width="5.28515625" style="687" customWidth="1"/>
    <col min="9987" max="9987" width="36.7109375" style="687" customWidth="1"/>
    <col min="9988" max="9990" width="9.140625" style="687"/>
    <col min="9991" max="9991" width="11.140625" style="687" customWidth="1"/>
    <col min="9992" max="9992" width="10.85546875" style="687" customWidth="1"/>
    <col min="9993" max="9993" width="9.140625" style="687"/>
    <col min="9994" max="9994" width="8.7109375" style="687" customWidth="1"/>
    <col min="9995" max="9995" width="0" style="687" hidden="1" customWidth="1"/>
    <col min="9996" max="10241" width="9.140625" style="687"/>
    <col min="10242" max="10242" width="5.28515625" style="687" customWidth="1"/>
    <col min="10243" max="10243" width="36.7109375" style="687" customWidth="1"/>
    <col min="10244" max="10246" width="9.140625" style="687"/>
    <col min="10247" max="10247" width="11.140625" style="687" customWidth="1"/>
    <col min="10248" max="10248" width="10.85546875" style="687" customWidth="1"/>
    <col min="10249" max="10249" width="9.140625" style="687"/>
    <col min="10250" max="10250" width="8.7109375" style="687" customWidth="1"/>
    <col min="10251" max="10251" width="0" style="687" hidden="1" customWidth="1"/>
    <col min="10252" max="10497" width="9.140625" style="687"/>
    <col min="10498" max="10498" width="5.28515625" style="687" customWidth="1"/>
    <col min="10499" max="10499" width="36.7109375" style="687" customWidth="1"/>
    <col min="10500" max="10502" width="9.140625" style="687"/>
    <col min="10503" max="10503" width="11.140625" style="687" customWidth="1"/>
    <col min="10504" max="10504" width="10.85546875" style="687" customWidth="1"/>
    <col min="10505" max="10505" width="9.140625" style="687"/>
    <col min="10506" max="10506" width="8.7109375" style="687" customWidth="1"/>
    <col min="10507" max="10507" width="0" style="687" hidden="1" customWidth="1"/>
    <col min="10508" max="10753" width="9.140625" style="687"/>
    <col min="10754" max="10754" width="5.28515625" style="687" customWidth="1"/>
    <col min="10755" max="10755" width="36.7109375" style="687" customWidth="1"/>
    <col min="10756" max="10758" width="9.140625" style="687"/>
    <col min="10759" max="10759" width="11.140625" style="687" customWidth="1"/>
    <col min="10760" max="10760" width="10.85546875" style="687" customWidth="1"/>
    <col min="10761" max="10761" width="9.140625" style="687"/>
    <col min="10762" max="10762" width="8.7109375" style="687" customWidth="1"/>
    <col min="10763" max="10763" width="0" style="687" hidden="1" customWidth="1"/>
    <col min="10764" max="11009" width="9.140625" style="687"/>
    <col min="11010" max="11010" width="5.28515625" style="687" customWidth="1"/>
    <col min="11011" max="11011" width="36.7109375" style="687" customWidth="1"/>
    <col min="11012" max="11014" width="9.140625" style="687"/>
    <col min="11015" max="11015" width="11.140625" style="687" customWidth="1"/>
    <col min="11016" max="11016" width="10.85546875" style="687" customWidth="1"/>
    <col min="11017" max="11017" width="9.140625" style="687"/>
    <col min="11018" max="11018" width="8.7109375" style="687" customWidth="1"/>
    <col min="11019" max="11019" width="0" style="687" hidden="1" customWidth="1"/>
    <col min="11020" max="11265" width="9.140625" style="687"/>
    <col min="11266" max="11266" width="5.28515625" style="687" customWidth="1"/>
    <col min="11267" max="11267" width="36.7109375" style="687" customWidth="1"/>
    <col min="11268" max="11270" width="9.140625" style="687"/>
    <col min="11271" max="11271" width="11.140625" style="687" customWidth="1"/>
    <col min="11272" max="11272" width="10.85546875" style="687" customWidth="1"/>
    <col min="11273" max="11273" width="9.140625" style="687"/>
    <col min="11274" max="11274" width="8.7109375" style="687" customWidth="1"/>
    <col min="11275" max="11275" width="0" style="687" hidden="1" customWidth="1"/>
    <col min="11276" max="11521" width="9.140625" style="687"/>
    <col min="11522" max="11522" width="5.28515625" style="687" customWidth="1"/>
    <col min="11523" max="11523" width="36.7109375" style="687" customWidth="1"/>
    <col min="11524" max="11526" width="9.140625" style="687"/>
    <col min="11527" max="11527" width="11.140625" style="687" customWidth="1"/>
    <col min="11528" max="11528" width="10.85546875" style="687" customWidth="1"/>
    <col min="11529" max="11529" width="9.140625" style="687"/>
    <col min="11530" max="11530" width="8.7109375" style="687" customWidth="1"/>
    <col min="11531" max="11531" width="0" style="687" hidden="1" customWidth="1"/>
    <col min="11532" max="11777" width="9.140625" style="687"/>
    <col min="11778" max="11778" width="5.28515625" style="687" customWidth="1"/>
    <col min="11779" max="11779" width="36.7109375" style="687" customWidth="1"/>
    <col min="11780" max="11782" width="9.140625" style="687"/>
    <col min="11783" max="11783" width="11.140625" style="687" customWidth="1"/>
    <col min="11784" max="11784" width="10.85546875" style="687" customWidth="1"/>
    <col min="11785" max="11785" width="9.140625" style="687"/>
    <col min="11786" max="11786" width="8.7109375" style="687" customWidth="1"/>
    <col min="11787" max="11787" width="0" style="687" hidden="1" customWidth="1"/>
    <col min="11788" max="12033" width="9.140625" style="687"/>
    <col min="12034" max="12034" width="5.28515625" style="687" customWidth="1"/>
    <col min="12035" max="12035" width="36.7109375" style="687" customWidth="1"/>
    <col min="12036" max="12038" width="9.140625" style="687"/>
    <col min="12039" max="12039" width="11.140625" style="687" customWidth="1"/>
    <col min="12040" max="12040" width="10.85546875" style="687" customWidth="1"/>
    <col min="12041" max="12041" width="9.140625" style="687"/>
    <col min="12042" max="12042" width="8.7109375" style="687" customWidth="1"/>
    <col min="12043" max="12043" width="0" style="687" hidden="1" customWidth="1"/>
    <col min="12044" max="12289" width="9.140625" style="687"/>
    <col min="12290" max="12290" width="5.28515625" style="687" customWidth="1"/>
    <col min="12291" max="12291" width="36.7109375" style="687" customWidth="1"/>
    <col min="12292" max="12294" width="9.140625" style="687"/>
    <col min="12295" max="12295" width="11.140625" style="687" customWidth="1"/>
    <col min="12296" max="12296" width="10.85546875" style="687" customWidth="1"/>
    <col min="12297" max="12297" width="9.140625" style="687"/>
    <col min="12298" max="12298" width="8.7109375" style="687" customWidth="1"/>
    <col min="12299" max="12299" width="0" style="687" hidden="1" customWidth="1"/>
    <col min="12300" max="12545" width="9.140625" style="687"/>
    <col min="12546" max="12546" width="5.28515625" style="687" customWidth="1"/>
    <col min="12547" max="12547" width="36.7109375" style="687" customWidth="1"/>
    <col min="12548" max="12550" width="9.140625" style="687"/>
    <col min="12551" max="12551" width="11.140625" style="687" customWidth="1"/>
    <col min="12552" max="12552" width="10.85546875" style="687" customWidth="1"/>
    <col min="12553" max="12553" width="9.140625" style="687"/>
    <col min="12554" max="12554" width="8.7109375" style="687" customWidth="1"/>
    <col min="12555" max="12555" width="0" style="687" hidden="1" customWidth="1"/>
    <col min="12556" max="12801" width="9.140625" style="687"/>
    <col min="12802" max="12802" width="5.28515625" style="687" customWidth="1"/>
    <col min="12803" max="12803" width="36.7109375" style="687" customWidth="1"/>
    <col min="12804" max="12806" width="9.140625" style="687"/>
    <col min="12807" max="12807" width="11.140625" style="687" customWidth="1"/>
    <col min="12808" max="12808" width="10.85546875" style="687" customWidth="1"/>
    <col min="12809" max="12809" width="9.140625" style="687"/>
    <col min="12810" max="12810" width="8.7109375" style="687" customWidth="1"/>
    <col min="12811" max="12811" width="0" style="687" hidden="1" customWidth="1"/>
    <col min="12812" max="13057" width="9.140625" style="687"/>
    <col min="13058" max="13058" width="5.28515625" style="687" customWidth="1"/>
    <col min="13059" max="13059" width="36.7109375" style="687" customWidth="1"/>
    <col min="13060" max="13062" width="9.140625" style="687"/>
    <col min="13063" max="13063" width="11.140625" style="687" customWidth="1"/>
    <col min="13064" max="13064" width="10.85546875" style="687" customWidth="1"/>
    <col min="13065" max="13065" width="9.140625" style="687"/>
    <col min="13066" max="13066" width="8.7109375" style="687" customWidth="1"/>
    <col min="13067" max="13067" width="0" style="687" hidden="1" customWidth="1"/>
    <col min="13068" max="13313" width="9.140625" style="687"/>
    <col min="13314" max="13314" width="5.28515625" style="687" customWidth="1"/>
    <col min="13315" max="13315" width="36.7109375" style="687" customWidth="1"/>
    <col min="13316" max="13318" width="9.140625" style="687"/>
    <col min="13319" max="13319" width="11.140625" style="687" customWidth="1"/>
    <col min="13320" max="13320" width="10.85546875" style="687" customWidth="1"/>
    <col min="13321" max="13321" width="9.140625" style="687"/>
    <col min="13322" max="13322" width="8.7109375" style="687" customWidth="1"/>
    <col min="13323" max="13323" width="0" style="687" hidden="1" customWidth="1"/>
    <col min="13324" max="13569" width="9.140625" style="687"/>
    <col min="13570" max="13570" width="5.28515625" style="687" customWidth="1"/>
    <col min="13571" max="13571" width="36.7109375" style="687" customWidth="1"/>
    <col min="13572" max="13574" width="9.140625" style="687"/>
    <col min="13575" max="13575" width="11.140625" style="687" customWidth="1"/>
    <col min="13576" max="13576" width="10.85546875" style="687" customWidth="1"/>
    <col min="13577" max="13577" width="9.140625" style="687"/>
    <col min="13578" max="13578" width="8.7109375" style="687" customWidth="1"/>
    <col min="13579" max="13579" width="0" style="687" hidden="1" customWidth="1"/>
    <col min="13580" max="13825" width="9.140625" style="687"/>
    <col min="13826" max="13826" width="5.28515625" style="687" customWidth="1"/>
    <col min="13827" max="13827" width="36.7109375" style="687" customWidth="1"/>
    <col min="13828" max="13830" width="9.140625" style="687"/>
    <col min="13831" max="13831" width="11.140625" style="687" customWidth="1"/>
    <col min="13832" max="13832" width="10.85546875" style="687" customWidth="1"/>
    <col min="13833" max="13833" width="9.140625" style="687"/>
    <col min="13834" max="13834" width="8.7109375" style="687" customWidth="1"/>
    <col min="13835" max="13835" width="0" style="687" hidden="1" customWidth="1"/>
    <col min="13836" max="14081" width="9.140625" style="687"/>
    <col min="14082" max="14082" width="5.28515625" style="687" customWidth="1"/>
    <col min="14083" max="14083" width="36.7109375" style="687" customWidth="1"/>
    <col min="14084" max="14086" width="9.140625" style="687"/>
    <col min="14087" max="14087" width="11.140625" style="687" customWidth="1"/>
    <col min="14088" max="14088" width="10.85546875" style="687" customWidth="1"/>
    <col min="14089" max="14089" width="9.140625" style="687"/>
    <col min="14090" max="14090" width="8.7109375" style="687" customWidth="1"/>
    <col min="14091" max="14091" width="0" style="687" hidden="1" customWidth="1"/>
    <col min="14092" max="14337" width="9.140625" style="687"/>
    <col min="14338" max="14338" width="5.28515625" style="687" customWidth="1"/>
    <col min="14339" max="14339" width="36.7109375" style="687" customWidth="1"/>
    <col min="14340" max="14342" width="9.140625" style="687"/>
    <col min="14343" max="14343" width="11.140625" style="687" customWidth="1"/>
    <col min="14344" max="14344" width="10.85546875" style="687" customWidth="1"/>
    <col min="14345" max="14345" width="9.140625" style="687"/>
    <col min="14346" max="14346" width="8.7109375" style="687" customWidth="1"/>
    <col min="14347" max="14347" width="0" style="687" hidden="1" customWidth="1"/>
    <col min="14348" max="14593" width="9.140625" style="687"/>
    <col min="14594" max="14594" width="5.28515625" style="687" customWidth="1"/>
    <col min="14595" max="14595" width="36.7109375" style="687" customWidth="1"/>
    <col min="14596" max="14598" width="9.140625" style="687"/>
    <col min="14599" max="14599" width="11.140625" style="687" customWidth="1"/>
    <col min="14600" max="14600" width="10.85546875" style="687" customWidth="1"/>
    <col min="14601" max="14601" width="9.140625" style="687"/>
    <col min="14602" max="14602" width="8.7109375" style="687" customWidth="1"/>
    <col min="14603" max="14603" width="0" style="687" hidden="1" customWidth="1"/>
    <col min="14604" max="14849" width="9.140625" style="687"/>
    <col min="14850" max="14850" width="5.28515625" style="687" customWidth="1"/>
    <col min="14851" max="14851" width="36.7109375" style="687" customWidth="1"/>
    <col min="14852" max="14854" width="9.140625" style="687"/>
    <col min="14855" max="14855" width="11.140625" style="687" customWidth="1"/>
    <col min="14856" max="14856" width="10.85546875" style="687" customWidth="1"/>
    <col min="14857" max="14857" width="9.140625" style="687"/>
    <col min="14858" max="14858" width="8.7109375" style="687" customWidth="1"/>
    <col min="14859" max="14859" width="0" style="687" hidden="1" customWidth="1"/>
    <col min="14860" max="15105" width="9.140625" style="687"/>
    <col min="15106" max="15106" width="5.28515625" style="687" customWidth="1"/>
    <col min="15107" max="15107" width="36.7109375" style="687" customWidth="1"/>
    <col min="15108" max="15110" width="9.140625" style="687"/>
    <col min="15111" max="15111" width="11.140625" style="687" customWidth="1"/>
    <col min="15112" max="15112" width="10.85546875" style="687" customWidth="1"/>
    <col min="15113" max="15113" width="9.140625" style="687"/>
    <col min="15114" max="15114" width="8.7109375" style="687" customWidth="1"/>
    <col min="15115" max="15115" width="0" style="687" hidden="1" customWidth="1"/>
    <col min="15116" max="15361" width="9.140625" style="687"/>
    <col min="15362" max="15362" width="5.28515625" style="687" customWidth="1"/>
    <col min="15363" max="15363" width="36.7109375" style="687" customWidth="1"/>
    <col min="15364" max="15366" width="9.140625" style="687"/>
    <col min="15367" max="15367" width="11.140625" style="687" customWidth="1"/>
    <col min="15368" max="15368" width="10.85546875" style="687" customWidth="1"/>
    <col min="15369" max="15369" width="9.140625" style="687"/>
    <col min="15370" max="15370" width="8.7109375" style="687" customWidth="1"/>
    <col min="15371" max="15371" width="0" style="687" hidden="1" customWidth="1"/>
    <col min="15372" max="15617" width="9.140625" style="687"/>
    <col min="15618" max="15618" width="5.28515625" style="687" customWidth="1"/>
    <col min="15619" max="15619" width="36.7109375" style="687" customWidth="1"/>
    <col min="15620" max="15622" width="9.140625" style="687"/>
    <col min="15623" max="15623" width="11.140625" style="687" customWidth="1"/>
    <col min="15624" max="15624" width="10.85546875" style="687" customWidth="1"/>
    <col min="15625" max="15625" width="9.140625" style="687"/>
    <col min="15626" max="15626" width="8.7109375" style="687" customWidth="1"/>
    <col min="15627" max="15627" width="0" style="687" hidden="1" customWidth="1"/>
    <col min="15628" max="15873" width="9.140625" style="687"/>
    <col min="15874" max="15874" width="5.28515625" style="687" customWidth="1"/>
    <col min="15875" max="15875" width="36.7109375" style="687" customWidth="1"/>
    <col min="15876" max="15878" width="9.140625" style="687"/>
    <col min="15879" max="15879" width="11.140625" style="687" customWidth="1"/>
    <col min="15880" max="15880" width="10.85546875" style="687" customWidth="1"/>
    <col min="15881" max="15881" width="9.140625" style="687"/>
    <col min="15882" max="15882" width="8.7109375" style="687" customWidth="1"/>
    <col min="15883" max="15883" width="0" style="687" hidden="1" customWidth="1"/>
    <col min="15884" max="16129" width="9.140625" style="687"/>
    <col min="16130" max="16130" width="5.28515625" style="687" customWidth="1"/>
    <col min="16131" max="16131" width="36.7109375" style="687" customWidth="1"/>
    <col min="16132" max="16134" width="9.140625" style="687"/>
    <col min="16135" max="16135" width="11.140625" style="687" customWidth="1"/>
    <col min="16136" max="16136" width="10.85546875" style="687" customWidth="1"/>
    <col min="16137" max="16137" width="9.140625" style="687"/>
    <col min="16138" max="16138" width="8.7109375" style="687" customWidth="1"/>
    <col min="16139" max="16139" width="0" style="687" hidden="1" customWidth="1"/>
    <col min="16140" max="16384" width="9.140625" style="687"/>
  </cols>
  <sheetData>
    <row r="1" spans="1:10" s="653" customFormat="1" ht="15">
      <c r="A1" s="662"/>
      <c r="B1" s="644"/>
      <c r="C1" s="644"/>
      <c r="D1" s="654"/>
      <c r="E1" s="645"/>
      <c r="F1" s="329"/>
      <c r="G1" s="329"/>
      <c r="J1" s="646"/>
    </row>
    <row r="2" spans="1:10" s="646" customFormat="1" ht="15">
      <c r="A2" s="642" t="s">
        <v>1758</v>
      </c>
      <c r="B2" s="643" t="s">
        <v>1759</v>
      </c>
      <c r="C2" s="643"/>
      <c r="D2" s="644"/>
      <c r="E2" s="645"/>
      <c r="F2" s="329"/>
      <c r="G2" s="329"/>
    </row>
    <row r="3" spans="1:10" s="646" customFormat="1" ht="15">
      <c r="A3" s="647"/>
      <c r="B3" s="670" t="s">
        <v>1760</v>
      </c>
      <c r="C3" s="670"/>
      <c r="D3" s="649"/>
      <c r="E3" s="649"/>
      <c r="F3" s="329"/>
      <c r="G3" s="329"/>
    </row>
    <row r="4" spans="1:10" s="653" customFormat="1" ht="47.25" customHeight="1" thickBot="1">
      <c r="A4" s="650"/>
      <c r="B4" s="1282" t="s">
        <v>1761</v>
      </c>
      <c r="C4" s="1282"/>
      <c r="D4" s="1282"/>
      <c r="E4" s="1282"/>
      <c r="F4" s="329"/>
      <c r="G4" s="329"/>
    </row>
    <row r="5" spans="1:10" s="653" customFormat="1" ht="28.5" customHeight="1" thickBot="1">
      <c r="A5" s="717" t="s">
        <v>13</v>
      </c>
      <c r="B5" s="718" t="s">
        <v>9</v>
      </c>
      <c r="C5" s="719" t="s">
        <v>1841</v>
      </c>
      <c r="D5" s="719" t="s">
        <v>15</v>
      </c>
      <c r="E5" s="719" t="s">
        <v>10</v>
      </c>
      <c r="F5" s="994" t="s">
        <v>16</v>
      </c>
      <c r="G5" s="994" t="s">
        <v>17</v>
      </c>
    </row>
    <row r="6" spans="1:10" s="653" customFormat="1" ht="15">
      <c r="A6" s="650"/>
      <c r="B6" s="655"/>
      <c r="C6" s="655"/>
      <c r="D6" s="170"/>
      <c r="E6" s="170"/>
      <c r="F6" s="1076"/>
      <c r="G6" s="329"/>
    </row>
    <row r="7" spans="1:10" s="678" customFormat="1" ht="171">
      <c r="A7" s="675" t="s">
        <v>1357</v>
      </c>
      <c r="B7" s="676" t="s">
        <v>1794</v>
      </c>
      <c r="C7" s="1090"/>
      <c r="D7" s="1046"/>
      <c r="E7" s="1046"/>
      <c r="F7" s="1076"/>
      <c r="G7" s="329"/>
      <c r="H7" s="677"/>
    </row>
    <row r="8" spans="1:10" s="678" customFormat="1" ht="14.25">
      <c r="A8" s="675"/>
      <c r="B8" s="679"/>
      <c r="C8" s="1091"/>
      <c r="D8" s="1046" t="s">
        <v>11</v>
      </c>
      <c r="E8" s="1046">
        <v>13</v>
      </c>
      <c r="F8" s="1076"/>
      <c r="G8" s="329">
        <f>SUM(E8*F8)</f>
        <v>0</v>
      </c>
      <c r="H8" s="677"/>
    </row>
    <row r="9" spans="1:10" s="678" customFormat="1" ht="14.25">
      <c r="A9" s="675"/>
      <c r="B9" s="679"/>
      <c r="C9" s="1091"/>
      <c r="D9" s="1046"/>
      <c r="E9" s="1046"/>
      <c r="F9" s="1076"/>
      <c r="G9" s="329"/>
      <c r="H9" s="677"/>
    </row>
    <row r="10" spans="1:10" s="653" customFormat="1" ht="409.5">
      <c r="A10" s="654" t="s">
        <v>1359</v>
      </c>
      <c r="B10" s="676" t="s">
        <v>1762</v>
      </c>
      <c r="C10" s="1090"/>
      <c r="D10" s="833"/>
      <c r="E10" s="652"/>
      <c r="F10" s="1076"/>
      <c r="G10" s="329"/>
    </row>
    <row r="11" spans="1:10" s="653" customFormat="1" ht="42.75">
      <c r="A11" s="654"/>
      <c r="B11" s="676" t="s">
        <v>1763</v>
      </c>
      <c r="C11" s="1090"/>
      <c r="D11" s="833"/>
      <c r="E11" s="652"/>
      <c r="F11" s="1076"/>
      <c r="G11" s="329"/>
    </row>
    <row r="12" spans="1:10" s="653" customFormat="1" ht="14.25">
      <c r="A12" s="654"/>
      <c r="B12" s="336" t="s">
        <v>1764</v>
      </c>
      <c r="C12" s="1092"/>
      <c r="D12" s="1082" t="s">
        <v>11</v>
      </c>
      <c r="E12" s="1082">
        <v>13</v>
      </c>
      <c r="F12" s="1076"/>
      <c r="G12" s="329"/>
    </row>
    <row r="13" spans="1:10" s="678" customFormat="1" ht="85.5">
      <c r="A13" s="675" t="s">
        <v>1779</v>
      </c>
      <c r="B13" s="655" t="s">
        <v>1778</v>
      </c>
      <c r="C13" s="1062"/>
      <c r="D13" s="685"/>
      <c r="E13" s="681"/>
      <c r="F13" s="1076"/>
      <c r="G13" s="329"/>
      <c r="H13" s="677"/>
    </row>
    <row r="14" spans="1:10" s="678" customFormat="1">
      <c r="A14" s="675"/>
      <c r="B14" s="682"/>
      <c r="C14" s="1093"/>
      <c r="D14" s="1082" t="s">
        <v>11</v>
      </c>
      <c r="E14" s="1082">
        <v>1</v>
      </c>
      <c r="F14" s="1076"/>
      <c r="G14" s="329">
        <f>SUM(E14*F14)</f>
        <v>0</v>
      </c>
      <c r="H14" s="677"/>
    </row>
    <row r="15" spans="1:10" s="678" customFormat="1">
      <c r="A15" s="675"/>
      <c r="B15" s="682"/>
      <c r="C15" s="1093"/>
      <c r="D15" s="1082"/>
      <c r="E15" s="1082"/>
      <c r="F15" s="1076"/>
      <c r="G15" s="329"/>
      <c r="H15" s="677"/>
    </row>
    <row r="16" spans="1:10" s="678" customFormat="1" ht="85.5">
      <c r="A16" s="675" t="s">
        <v>1780</v>
      </c>
      <c r="B16" s="655" t="s">
        <v>1781</v>
      </c>
      <c r="C16" s="1062"/>
      <c r="D16" s="685"/>
      <c r="E16" s="681"/>
      <c r="F16" s="1076"/>
      <c r="G16" s="329"/>
      <c r="H16" s="677"/>
    </row>
    <row r="17" spans="1:8" s="678" customFormat="1">
      <c r="A17" s="675"/>
      <c r="B17" s="682"/>
      <c r="C17" s="1093"/>
      <c r="D17" s="1082" t="s">
        <v>11</v>
      </c>
      <c r="E17" s="1082">
        <v>1</v>
      </c>
      <c r="F17" s="1076"/>
      <c r="G17" s="329">
        <f>SUM(E17*F17)</f>
        <v>0</v>
      </c>
      <c r="H17" s="677"/>
    </row>
    <row r="18" spans="1:8" s="678" customFormat="1">
      <c r="A18" s="675"/>
      <c r="B18" s="682"/>
      <c r="C18" s="1093"/>
      <c r="D18" s="1082"/>
      <c r="E18" s="1082"/>
      <c r="F18" s="1076"/>
      <c r="G18" s="329"/>
      <c r="H18" s="677"/>
    </row>
    <row r="19" spans="1:8" s="678" customFormat="1" ht="85.5">
      <c r="A19" s="675" t="s">
        <v>1782</v>
      </c>
      <c r="B19" s="655" t="s">
        <v>1783</v>
      </c>
      <c r="C19" s="1062"/>
      <c r="D19" s="685"/>
      <c r="E19" s="681"/>
      <c r="F19" s="1076"/>
      <c r="G19" s="329"/>
      <c r="H19" s="677"/>
    </row>
    <row r="20" spans="1:8" s="678" customFormat="1">
      <c r="A20" s="675"/>
      <c r="B20" s="682"/>
      <c r="C20" s="1093"/>
      <c r="D20" s="1082" t="s">
        <v>11</v>
      </c>
      <c r="E20" s="1082">
        <v>1</v>
      </c>
      <c r="F20" s="1076"/>
      <c r="G20" s="329">
        <f>SUM(E20*F20)</f>
        <v>0</v>
      </c>
      <c r="H20" s="677"/>
    </row>
    <row r="21" spans="1:8" s="678" customFormat="1">
      <c r="A21" s="675"/>
      <c r="B21" s="682"/>
      <c r="C21" s="1093"/>
      <c r="D21" s="1082"/>
      <c r="E21" s="1082"/>
      <c r="F21" s="1076"/>
      <c r="G21" s="329"/>
      <c r="H21" s="677"/>
    </row>
    <row r="22" spans="1:8" s="678" customFormat="1" ht="85.5">
      <c r="A22" s="675" t="s">
        <v>1782</v>
      </c>
      <c r="B22" s="655" t="s">
        <v>1788</v>
      </c>
      <c r="C22" s="1062"/>
      <c r="D22" s="685"/>
      <c r="E22" s="681"/>
      <c r="F22" s="1076"/>
      <c r="G22" s="329"/>
      <c r="H22" s="677"/>
    </row>
    <row r="23" spans="1:8" s="678" customFormat="1">
      <c r="A23" s="675"/>
      <c r="B23" s="682"/>
      <c r="C23" s="1093"/>
      <c r="D23" s="1082" t="s">
        <v>11</v>
      </c>
      <c r="E23" s="1082">
        <v>1</v>
      </c>
      <c r="F23" s="1076"/>
      <c r="G23" s="329">
        <f>SUM(E23*F23)</f>
        <v>0</v>
      </c>
      <c r="H23" s="677"/>
    </row>
    <row r="24" spans="1:8" s="678" customFormat="1">
      <c r="A24" s="675"/>
      <c r="B24" s="682"/>
      <c r="C24" s="1093"/>
      <c r="D24" s="1082"/>
      <c r="E24" s="1082"/>
      <c r="F24" s="1076"/>
      <c r="G24" s="329"/>
      <c r="H24" s="677"/>
    </row>
    <row r="25" spans="1:8" s="678" customFormat="1" ht="85.5">
      <c r="A25" s="675" t="s">
        <v>1784</v>
      </c>
      <c r="B25" s="655" t="s">
        <v>1787</v>
      </c>
      <c r="C25" s="1062"/>
      <c r="D25" s="685"/>
      <c r="E25" s="681"/>
      <c r="F25" s="1076"/>
      <c r="G25" s="329"/>
      <c r="H25" s="677"/>
    </row>
    <row r="26" spans="1:8" s="678" customFormat="1">
      <c r="A26" s="675"/>
      <c r="B26" s="682"/>
      <c r="C26" s="1093"/>
      <c r="D26" s="1082" t="s">
        <v>11</v>
      </c>
      <c r="E26" s="1082">
        <v>1</v>
      </c>
      <c r="F26" s="1076"/>
      <c r="G26" s="329">
        <f>SUM(E26*F26)</f>
        <v>0</v>
      </c>
      <c r="H26" s="677"/>
    </row>
    <row r="27" spans="1:8" s="678" customFormat="1">
      <c r="A27" s="675"/>
      <c r="B27" s="682"/>
      <c r="C27" s="1093"/>
      <c r="D27" s="1082"/>
      <c r="E27" s="1082"/>
      <c r="F27" s="1076"/>
      <c r="G27" s="329"/>
      <c r="H27" s="677"/>
    </row>
    <row r="28" spans="1:8" s="678" customFormat="1" ht="85.5">
      <c r="A28" s="675" t="s">
        <v>1785</v>
      </c>
      <c r="B28" s="655" t="s">
        <v>1786</v>
      </c>
      <c r="C28" s="1062"/>
      <c r="D28" s="685"/>
      <c r="E28" s="681"/>
      <c r="F28" s="1076"/>
      <c r="G28" s="329"/>
      <c r="H28" s="677"/>
    </row>
    <row r="29" spans="1:8" s="678" customFormat="1">
      <c r="A29" s="675"/>
      <c r="B29" s="682"/>
      <c r="C29" s="1093"/>
      <c r="D29" s="1082" t="s">
        <v>11</v>
      </c>
      <c r="E29" s="1082">
        <v>1</v>
      </c>
      <c r="F29" s="1076"/>
      <c r="G29" s="329">
        <f>SUM(E29*F29)</f>
        <v>0</v>
      </c>
      <c r="H29" s="677"/>
    </row>
    <row r="30" spans="1:8" s="678" customFormat="1">
      <c r="A30" s="675"/>
      <c r="B30" s="682"/>
      <c r="C30" s="1093"/>
      <c r="D30" s="685"/>
      <c r="E30" s="681"/>
      <c r="F30" s="1076"/>
      <c r="G30" s="329"/>
      <c r="H30" s="677"/>
    </row>
    <row r="31" spans="1:8" s="678" customFormat="1" ht="99.75">
      <c r="A31" s="675" t="s">
        <v>1363</v>
      </c>
      <c r="B31" s="655" t="s">
        <v>1792</v>
      </c>
      <c r="C31" s="1062"/>
      <c r="D31" s="685"/>
      <c r="E31" s="681"/>
      <c r="F31" s="1076"/>
      <c r="G31" s="329"/>
      <c r="H31" s="677"/>
    </row>
    <row r="32" spans="1:8" s="678" customFormat="1">
      <c r="A32" s="675"/>
      <c r="B32" s="683"/>
      <c r="C32" s="1094"/>
      <c r="D32" s="1082" t="s">
        <v>11</v>
      </c>
      <c r="E32" s="1082">
        <v>12</v>
      </c>
      <c r="F32" s="1076"/>
      <c r="G32" s="329">
        <f>SUM(E32*F32)</f>
        <v>0</v>
      </c>
      <c r="H32" s="677"/>
    </row>
    <row r="33" spans="1:257" s="678" customFormat="1">
      <c r="A33" s="675"/>
      <c r="B33" s="682"/>
      <c r="C33" s="1093"/>
      <c r="D33" s="685"/>
      <c r="E33" s="681"/>
      <c r="F33" s="1076"/>
      <c r="G33" s="329"/>
      <c r="H33" s="677"/>
    </row>
    <row r="34" spans="1:257" s="678" customFormat="1" ht="12.75" customHeight="1">
      <c r="A34" s="675"/>
      <c r="B34" s="684"/>
      <c r="C34" s="1095"/>
      <c r="D34" s="1082"/>
      <c r="E34" s="1082"/>
      <c r="F34" s="1076"/>
      <c r="G34" s="329"/>
      <c r="H34" s="677"/>
    </row>
    <row r="35" spans="1:257" s="678" customFormat="1" ht="71.25">
      <c r="A35" s="675" t="s">
        <v>1366</v>
      </c>
      <c r="B35" s="655" t="s">
        <v>1793</v>
      </c>
      <c r="C35" s="1062"/>
      <c r="D35" s="1083"/>
      <c r="E35" s="681"/>
      <c r="F35" s="1076"/>
      <c r="G35" s="329"/>
      <c r="H35" s="677"/>
    </row>
    <row r="36" spans="1:257" s="678" customFormat="1" ht="12.75" customHeight="1">
      <c r="A36" s="675"/>
      <c r="C36" s="1096"/>
      <c r="D36" s="1082" t="s">
        <v>11</v>
      </c>
      <c r="E36" s="1082">
        <v>13</v>
      </c>
      <c r="F36" s="1076"/>
      <c r="G36" s="329">
        <f>SUM(E36*F36)</f>
        <v>0</v>
      </c>
      <c r="H36" s="677"/>
    </row>
    <row r="37" spans="1:257" s="678" customFormat="1" ht="12.75" customHeight="1">
      <c r="A37" s="675"/>
      <c r="B37" s="684"/>
      <c r="C37" s="1095"/>
      <c r="D37" s="1083"/>
      <c r="E37" s="681"/>
      <c r="F37" s="1076"/>
      <c r="G37" s="329"/>
      <c r="H37" s="677"/>
    </row>
    <row r="38" spans="1:257" s="678" customFormat="1" ht="12.75" customHeight="1">
      <c r="A38" s="675"/>
      <c r="B38" s="680"/>
      <c r="C38" s="1097"/>
      <c r="D38" s="660"/>
      <c r="E38" s="688"/>
      <c r="F38" s="1076"/>
      <c r="G38" s="329"/>
      <c r="H38" s="677"/>
    </row>
    <row r="39" spans="1:257" ht="128.25">
      <c r="A39" s="685" t="s">
        <v>1386</v>
      </c>
      <c r="B39" s="655" t="s">
        <v>1765</v>
      </c>
      <c r="C39" s="1062"/>
      <c r="D39" s="1053"/>
      <c r="E39" s="1047"/>
      <c r="F39" s="1076"/>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ht="42.75">
      <c r="A40" s="685"/>
      <c r="B40" s="679" t="s">
        <v>1766</v>
      </c>
      <c r="C40" s="1091"/>
      <c r="D40" s="1053"/>
      <c r="E40" s="1047"/>
      <c r="F40" s="1076"/>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s="689" customFormat="1" ht="14.25">
      <c r="A41" s="685"/>
      <c r="B41" s="676" t="s">
        <v>1767</v>
      </c>
      <c r="C41" s="1090"/>
      <c r="D41" s="1046" t="s">
        <v>11</v>
      </c>
      <c r="E41" s="833">
        <v>7</v>
      </c>
      <c r="F41" s="1076"/>
      <c r="G41" s="329">
        <f>SUM(E41*F41)</f>
        <v>0</v>
      </c>
      <c r="H41" s="657"/>
      <c r="I41" s="678"/>
      <c r="J41" s="678"/>
    </row>
    <row r="42" spans="1:257" ht="15">
      <c r="A42" s="685"/>
      <c r="B42" s="643"/>
      <c r="C42" s="643"/>
      <c r="D42" s="1053"/>
      <c r="E42" s="1047"/>
      <c r="F42" s="1076"/>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ht="45.75" customHeight="1">
      <c r="A43" s="685" t="s">
        <v>1388</v>
      </c>
      <c r="B43" s="676" t="s">
        <v>1768</v>
      </c>
      <c r="C43" s="1090"/>
      <c r="D43" s="1053"/>
      <c r="E43" s="1047"/>
      <c r="F43" s="1076"/>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s="689" customFormat="1" ht="14.25">
      <c r="A44" s="685"/>
      <c r="B44" s="676" t="s">
        <v>1767</v>
      </c>
      <c r="C44" s="1090"/>
      <c r="D44" s="1046" t="s">
        <v>11</v>
      </c>
      <c r="E44" s="833">
        <v>4</v>
      </c>
      <c r="F44" s="1076"/>
      <c r="G44" s="329">
        <f>SUM(E44*F44)</f>
        <v>0</v>
      </c>
      <c r="H44" s="657"/>
      <c r="I44" s="678"/>
      <c r="J44" s="678"/>
    </row>
    <row r="45" spans="1:257" ht="15">
      <c r="A45" s="685"/>
      <c r="B45" s="643"/>
      <c r="C45" s="643"/>
      <c r="D45" s="1053"/>
      <c r="E45" s="1047"/>
      <c r="F45" s="1076"/>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s="678" customFormat="1" ht="85.5">
      <c r="A46" s="675" t="s">
        <v>1392</v>
      </c>
      <c r="B46" s="655" t="s">
        <v>1769</v>
      </c>
      <c r="C46" s="1062"/>
      <c r="D46" s="1083"/>
      <c r="E46" s="681"/>
      <c r="F46" s="1076"/>
      <c r="G46" s="329"/>
      <c r="H46" s="677"/>
    </row>
    <row r="47" spans="1:257" s="678" customFormat="1" ht="12.75" customHeight="1">
      <c r="A47" s="675"/>
      <c r="B47" s="687"/>
      <c r="C47" s="1098"/>
      <c r="D47" s="1046" t="s">
        <v>11</v>
      </c>
      <c r="E47" s="1046">
        <v>2</v>
      </c>
      <c r="F47" s="1076"/>
      <c r="G47" s="329">
        <f>SUM(E47*F47)</f>
        <v>0</v>
      </c>
      <c r="H47" s="677"/>
    </row>
    <row r="48" spans="1:257" s="678" customFormat="1" ht="12.75" customHeight="1">
      <c r="A48" s="675"/>
      <c r="B48" s="683"/>
      <c r="C48" s="1094"/>
      <c r="D48" s="685"/>
      <c r="E48" s="681"/>
      <c r="F48" s="1076"/>
      <c r="G48" s="329"/>
      <c r="H48" s="677"/>
    </row>
    <row r="49" spans="1:8" s="678" customFormat="1" ht="99.75">
      <c r="A49" s="675" t="s">
        <v>1396</v>
      </c>
      <c r="B49" s="655" t="s">
        <v>1770</v>
      </c>
      <c r="C49" s="1062"/>
      <c r="D49" s="685"/>
      <c r="E49" s="681"/>
      <c r="F49" s="1076"/>
      <c r="G49" s="329"/>
      <c r="H49" s="677"/>
    </row>
    <row r="50" spans="1:8" s="678" customFormat="1" ht="13.5" customHeight="1">
      <c r="A50" s="675"/>
      <c r="B50" s="687"/>
      <c r="C50" s="1098"/>
      <c r="D50" s="1046" t="s">
        <v>11</v>
      </c>
      <c r="E50" s="1046">
        <v>2</v>
      </c>
      <c r="F50" s="1076"/>
      <c r="G50" s="329">
        <f>SUM(E50*F50)</f>
        <v>0</v>
      </c>
      <c r="H50" s="677"/>
    </row>
    <row r="51" spans="1:8" s="678" customFormat="1" ht="28.5">
      <c r="A51" s="675" t="s">
        <v>1525</v>
      </c>
      <c r="B51" s="655" t="s">
        <v>1771</v>
      </c>
      <c r="C51" s="1062"/>
      <c r="D51" s="1083"/>
      <c r="E51" s="681"/>
      <c r="F51" s="1076"/>
      <c r="G51" s="329"/>
      <c r="H51" s="677"/>
    </row>
    <row r="52" spans="1:8" s="678" customFormat="1" ht="28.5">
      <c r="A52" s="685"/>
      <c r="B52" s="690" t="s">
        <v>1795</v>
      </c>
      <c r="C52" s="1099"/>
      <c r="D52" s="1046" t="s">
        <v>11</v>
      </c>
      <c r="E52" s="1046">
        <v>4</v>
      </c>
      <c r="F52" s="1076"/>
      <c r="G52" s="329">
        <f>SUM(E52*F52)</f>
        <v>0</v>
      </c>
      <c r="H52" s="677"/>
    </row>
    <row r="53" spans="1:8" s="678" customFormat="1">
      <c r="A53" s="675"/>
      <c r="B53" s="683"/>
      <c r="C53" s="1094"/>
      <c r="D53" s="1083"/>
      <c r="E53" s="681"/>
      <c r="F53" s="1076"/>
      <c r="G53" s="329"/>
      <c r="H53" s="677"/>
    </row>
    <row r="54" spans="1:8" s="678" customFormat="1" ht="28.5">
      <c r="A54" s="675" t="s">
        <v>1527</v>
      </c>
      <c r="B54" s="655" t="s">
        <v>1772</v>
      </c>
      <c r="C54" s="1062"/>
      <c r="D54" s="1083"/>
      <c r="E54" s="681"/>
      <c r="F54" s="1076"/>
      <c r="G54" s="329"/>
      <c r="H54" s="677"/>
    </row>
    <row r="55" spans="1:8" s="678" customFormat="1" ht="14.25">
      <c r="A55" s="685"/>
      <c r="B55" s="655" t="s">
        <v>1773</v>
      </c>
      <c r="C55" s="1062"/>
      <c r="D55" s="1046" t="s">
        <v>11</v>
      </c>
      <c r="E55" s="1046">
        <v>2</v>
      </c>
      <c r="F55" s="1076"/>
      <c r="G55" s="329">
        <f>SUM(E55*F55)</f>
        <v>0</v>
      </c>
      <c r="H55" s="677"/>
    </row>
    <row r="56" spans="1:8" s="678" customFormat="1" ht="14.25">
      <c r="A56" s="685"/>
      <c r="B56" s="655" t="s">
        <v>1774</v>
      </c>
      <c r="C56" s="1062"/>
      <c r="D56" s="1046" t="s">
        <v>11</v>
      </c>
      <c r="E56" s="1046">
        <v>10</v>
      </c>
      <c r="F56" s="1076"/>
      <c r="G56" s="329">
        <f>SUM(E56*F56)</f>
        <v>0</v>
      </c>
      <c r="H56" s="677"/>
    </row>
    <row r="57" spans="1:8" s="678" customFormat="1">
      <c r="A57" s="675"/>
      <c r="B57" s="683"/>
      <c r="C57" s="1094"/>
      <c r="D57" s="1083"/>
      <c r="E57" s="681"/>
      <c r="F57" s="1076"/>
      <c r="G57" s="329"/>
      <c r="H57" s="677"/>
    </row>
    <row r="58" spans="1:8" s="678" customFormat="1" ht="28.5">
      <c r="A58" s="675" t="s">
        <v>1529</v>
      </c>
      <c r="B58" s="655" t="s">
        <v>1775</v>
      </c>
      <c r="C58" s="1062"/>
      <c r="D58" s="685"/>
      <c r="E58" s="681"/>
      <c r="F58" s="1076"/>
      <c r="G58" s="329"/>
      <c r="H58" s="677"/>
    </row>
    <row r="59" spans="1:8" s="678" customFormat="1" ht="14.25">
      <c r="A59" s="675"/>
      <c r="B59" s="691" t="s">
        <v>1776</v>
      </c>
      <c r="C59" s="691"/>
      <c r="D59" s="1084"/>
      <c r="E59" s="692"/>
      <c r="F59" s="1076"/>
      <c r="G59" s="329"/>
      <c r="H59" s="677"/>
    </row>
    <row r="60" spans="1:8" s="678" customFormat="1" ht="12.75" customHeight="1">
      <c r="A60" s="675"/>
      <c r="B60" s="693"/>
      <c r="C60" s="693"/>
      <c r="D60" s="1083"/>
      <c r="E60" s="692"/>
      <c r="F60" s="1076"/>
      <c r="G60" s="329"/>
      <c r="H60" s="677"/>
    </row>
    <row r="61" spans="1:8" s="653" customFormat="1" ht="15">
      <c r="A61" s="663" t="s">
        <v>1758</v>
      </c>
      <c r="B61" s="664" t="s">
        <v>1759</v>
      </c>
      <c r="C61" s="1068"/>
      <c r="D61" s="1051"/>
      <c r="E61" s="665"/>
      <c r="F61" s="1089"/>
      <c r="G61" s="1088">
        <f>SUM(G7:G60)</f>
        <v>0</v>
      </c>
      <c r="H61" s="666"/>
    </row>
    <row r="62" spans="1:8" s="678" customFormat="1">
      <c r="A62" s="675"/>
      <c r="B62" s="694"/>
      <c r="C62" s="1100"/>
      <c r="D62" s="686"/>
      <c r="E62" s="681"/>
      <c r="F62" s="1076"/>
      <c r="G62" s="329"/>
      <c r="H62" s="677"/>
    </row>
    <row r="63" spans="1:8" s="678" customFormat="1">
      <c r="A63" s="675"/>
      <c r="B63" s="684"/>
      <c r="C63" s="1095"/>
      <c r="D63" s="1085"/>
      <c r="E63" s="681"/>
      <c r="F63" s="1076"/>
      <c r="G63" s="329"/>
      <c r="H63" s="677"/>
    </row>
    <row r="64" spans="1:8" s="678" customFormat="1" ht="12.75" customHeight="1">
      <c r="A64" s="675"/>
      <c r="B64" s="696"/>
      <c r="C64" s="1101"/>
      <c r="D64" s="686"/>
      <c r="E64" s="681"/>
      <c r="F64" s="1076"/>
      <c r="G64" s="329"/>
      <c r="H64" s="677"/>
    </row>
    <row r="65" spans="1:8" s="678" customFormat="1" ht="12.75" customHeight="1">
      <c r="A65" s="675"/>
      <c r="B65" s="694"/>
      <c r="C65" s="694"/>
      <c r="D65" s="686"/>
      <c r="E65" s="681"/>
      <c r="F65" s="329"/>
      <c r="G65" s="329"/>
      <c r="H65" s="677"/>
    </row>
    <row r="66" spans="1:8" s="678" customFormat="1" ht="12.75" customHeight="1">
      <c r="A66" s="675"/>
      <c r="B66" s="696"/>
      <c r="C66" s="696"/>
      <c r="D66" s="1085"/>
      <c r="E66" s="681"/>
      <c r="F66" s="329"/>
      <c r="G66" s="329"/>
      <c r="H66" s="677"/>
    </row>
    <row r="67" spans="1:8" s="678" customFormat="1" ht="12.75" customHeight="1">
      <c r="A67" s="675"/>
      <c r="B67" s="696"/>
      <c r="C67" s="696"/>
      <c r="D67" s="686"/>
      <c r="E67" s="681"/>
      <c r="F67" s="329"/>
      <c r="G67" s="329"/>
      <c r="H67" s="677"/>
    </row>
    <row r="68" spans="1:8" s="678" customFormat="1" ht="12.75" customHeight="1">
      <c r="A68" s="675"/>
      <c r="B68" s="696"/>
      <c r="C68" s="696"/>
      <c r="D68" s="686"/>
      <c r="E68" s="681"/>
      <c r="F68" s="329"/>
      <c r="G68" s="329"/>
      <c r="H68" s="677"/>
    </row>
    <row r="69" spans="1:8" s="678" customFormat="1">
      <c r="A69" s="675"/>
      <c r="B69" s="696"/>
      <c r="C69" s="696"/>
      <c r="D69" s="1085"/>
      <c r="E69" s="681"/>
      <c r="F69" s="329"/>
      <c r="G69" s="329"/>
      <c r="H69" s="677"/>
    </row>
    <row r="70" spans="1:8" s="678" customFormat="1" ht="12.75" customHeight="1">
      <c r="A70" s="675"/>
      <c r="B70" s="696"/>
      <c r="C70" s="696"/>
      <c r="D70" s="1085"/>
      <c r="E70" s="681"/>
      <c r="F70" s="329"/>
      <c r="G70" s="329"/>
      <c r="H70" s="677"/>
    </row>
    <row r="71" spans="1:8" s="678" customFormat="1">
      <c r="B71" s="696"/>
      <c r="C71" s="696"/>
      <c r="D71" s="1085"/>
      <c r="E71" s="686"/>
      <c r="F71" s="329"/>
      <c r="G71" s="329"/>
      <c r="H71" s="677"/>
    </row>
    <row r="72" spans="1:8" s="678" customFormat="1">
      <c r="A72" s="675"/>
      <c r="B72" s="694"/>
      <c r="C72" s="694"/>
      <c r="D72" s="1085"/>
      <c r="E72" s="686"/>
      <c r="F72" s="329"/>
      <c r="G72" s="329"/>
      <c r="H72" s="677"/>
    </row>
    <row r="73" spans="1:8" s="678" customFormat="1" ht="12.75" customHeight="1">
      <c r="A73" s="675"/>
      <c r="B73" s="695"/>
      <c r="C73" s="695"/>
      <c r="D73" s="1084"/>
      <c r="E73" s="686"/>
      <c r="F73" s="329"/>
      <c r="G73" s="329"/>
      <c r="H73" s="677"/>
    </row>
    <row r="74" spans="1:8" s="678" customFormat="1" ht="9.75" customHeight="1">
      <c r="A74" s="675"/>
      <c r="D74" s="686"/>
      <c r="E74" s="686"/>
      <c r="F74" s="329"/>
      <c r="G74" s="329"/>
      <c r="H74" s="677"/>
    </row>
    <row r="75" spans="1:8" s="678" customFormat="1">
      <c r="A75" s="675"/>
      <c r="B75" s="697"/>
      <c r="C75" s="697"/>
      <c r="D75" s="1084"/>
      <c r="E75" s="681"/>
      <c r="F75" s="329"/>
      <c r="G75" s="329"/>
      <c r="H75" s="677"/>
    </row>
    <row r="76" spans="1:8" s="678" customFormat="1" ht="12.75" customHeight="1">
      <c r="A76" s="675"/>
      <c r="B76" s="687"/>
      <c r="C76" s="687"/>
      <c r="D76" s="1086"/>
      <c r="E76" s="681"/>
      <c r="F76" s="329"/>
      <c r="G76" s="329"/>
      <c r="H76" s="677"/>
    </row>
    <row r="77" spans="1:8" ht="83.25" customHeight="1">
      <c r="B77" s="698"/>
      <c r="C77" s="698"/>
      <c r="D77" s="1086"/>
    </row>
    <row r="78" spans="1:8">
      <c r="B78" s="697"/>
      <c r="C78" s="697"/>
      <c r="D78" s="1086"/>
    </row>
    <row r="80" spans="1:8" ht="17.25" customHeight="1">
      <c r="A80" s="701"/>
      <c r="B80" s="1283"/>
      <c r="C80" s="1283"/>
      <c r="D80" s="1283"/>
      <c r="E80" s="1283"/>
      <c r="F80" s="1283"/>
    </row>
  </sheetData>
  <sheetProtection password="CB29" sheet="1" formatCells="0" formatColumns="0" formatRows="0" insertColumns="0" insertRows="0" insertHyperlinks="0" deleteColumns="0" deleteRows="0" sort="0" autoFilter="0" pivotTables="0"/>
  <mergeCells count="2">
    <mergeCell ref="B4:E4"/>
    <mergeCell ref="B80:F80"/>
  </mergeCells>
  <conditionalFormatting sqref="G1:G1048576">
    <cfRule type="cellIs" dxfId="7" priority="1" operator="equal">
      <formula>0</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MAPA 1-OPĆI UVJETI</vt:lpstr>
      <vt:lpstr>REKAPITULACIJA UKUPNO</vt:lpstr>
      <vt:lpstr>MAPA 1--Z1 - Građ.obrtnički rad</vt:lpstr>
      <vt:lpstr>MAPA 1- Z2 - Građ.obrtnički rad</vt:lpstr>
      <vt:lpstr>MAPA 1-ISKAZ KOLIČINA</vt:lpstr>
      <vt:lpstr>MAPA 3-STROJARSTVO</vt:lpstr>
      <vt:lpstr>MAPA 4-VODA</vt:lpstr>
      <vt:lpstr>MAPA 4-KANALIZACIJA</vt:lpstr>
      <vt:lpstr>MAPA 5-SANITARIJE</vt:lpstr>
      <vt:lpstr>MAPA 5-ELEKTRO</vt:lpstr>
      <vt:lpstr>MAPA 5-VATRODOJAVA</vt:lpstr>
      <vt:lpstr>'MAPA 1--Z1 - Građ.obrtnički rad'!_1.1.</vt:lpstr>
      <vt:lpstr>'MAPA 1- Z2 - Građ.obrtnički rad'!Print_Area</vt:lpstr>
      <vt:lpstr>'MAPA 1-OPĆI UVJETI'!Print_Area</vt:lpstr>
      <vt:lpstr>'MAPA 1--Z1 - Građ.obrtnički rad'!Print_Area</vt:lpstr>
      <vt:lpstr>'MAPA 3-STROJARSTVO'!Print_Area</vt:lpstr>
      <vt:lpstr>'MAPA 4-KANALIZACIJA'!Print_Area</vt:lpstr>
      <vt:lpstr>'MAPA 4-VODA'!Print_Area</vt:lpstr>
      <vt:lpstr>'MAPA 5-VATRODOJAVA'!Print_Area</vt:lpstr>
      <vt:lpstr>'MAPA 1-OPĆI UVJETI'!Print_Titles</vt:lpstr>
      <vt:lpstr>'MAPA 1--Z1 - Građ.obrtnički rad'!Print_Titles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Plemenčić</dc:creator>
  <cp:lastModifiedBy>Kristina</cp:lastModifiedBy>
  <cp:lastPrinted>2017-07-10T12:18:00Z</cp:lastPrinted>
  <dcterms:created xsi:type="dcterms:W3CDTF">2010-01-16T22:08:30Z</dcterms:created>
  <dcterms:modified xsi:type="dcterms:W3CDTF">2017-08-16T06:00:46Z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Grabovac - mobilne kućice 1</vt:lpwstr>
  </property>
</Properties>
</file>